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cef457bb869b141/Documents/work/multifamily_case_study/"/>
    </mc:Choice>
  </mc:AlternateContent>
  <xr:revisionPtr revIDLastSave="378" documentId="8_{DF253AE0-09F7-4474-A72F-2C139DA36470}" xr6:coauthVersionLast="47" xr6:coauthVersionMax="47" xr10:uidLastSave="{D81E671C-0998-42C2-801C-31106AC6938F}"/>
  <bookViews>
    <workbookView xWindow="-120" yWindow="-120" windowWidth="29040" windowHeight="15720" activeTab="4" xr2:uid="{9762F8EA-6920-41A7-9C54-5A925659A4CE}"/>
  </bookViews>
  <sheets>
    <sheet name="Sheet1" sheetId="1" r:id="rId1"/>
    <sheet name="Sheet2" sheetId="2" r:id="rId2"/>
    <sheet name="Sheet3" sheetId="3" r:id="rId3"/>
    <sheet name="Assumptions" sheetId="4" r:id="rId4"/>
    <sheet name="Monthly Forecast" sheetId="5" r:id="rId5"/>
  </sheets>
  <definedNames>
    <definedName name="__xleta.FORECAST" hidden="1" xlm="1">#NAME?</definedName>
    <definedName name="_xlnm.Print_Area" localSheetId="3">Assumptions!$A$1:$V$38</definedName>
    <definedName name="_xlnm.Print_Area" localSheetId="4">'Monthly Forecast'!$A$1:$Q$42</definedName>
  </definedNames>
  <calcPr calcId="191029" iterate="1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5" l="1"/>
  <c r="G14" i="5"/>
  <c r="H14" i="5"/>
  <c r="I14" i="5"/>
  <c r="J14" i="5"/>
  <c r="K14" i="5"/>
  <c r="L14" i="5"/>
  <c r="M14" i="5"/>
  <c r="N14" i="5"/>
  <c r="O14" i="5"/>
  <c r="P14" i="5"/>
  <c r="E14" i="5"/>
  <c r="F40" i="5"/>
  <c r="G40" i="5"/>
  <c r="H40" i="5"/>
  <c r="I40" i="5"/>
  <c r="J40" i="5"/>
  <c r="K40" i="5"/>
  <c r="L40" i="5"/>
  <c r="M40" i="5"/>
  <c r="N40" i="5"/>
  <c r="O40" i="5"/>
  <c r="P40" i="5"/>
  <c r="E40" i="5"/>
  <c r="Q40" i="5" s="1"/>
  <c r="F37" i="5"/>
  <c r="G37" i="5"/>
  <c r="H37" i="5"/>
  <c r="I37" i="5"/>
  <c r="J37" i="5"/>
  <c r="K37" i="5"/>
  <c r="L37" i="5"/>
  <c r="M37" i="5"/>
  <c r="N37" i="5"/>
  <c r="O37" i="5"/>
  <c r="P37" i="5"/>
  <c r="E37" i="5"/>
  <c r="F20" i="5"/>
  <c r="G20" i="5"/>
  <c r="H20" i="5"/>
  <c r="I20" i="5"/>
  <c r="J20" i="5"/>
  <c r="K20" i="5"/>
  <c r="L20" i="5"/>
  <c r="M20" i="5"/>
  <c r="N20" i="5"/>
  <c r="O20" i="5"/>
  <c r="P20" i="5"/>
  <c r="F21" i="5"/>
  <c r="G21" i="5"/>
  <c r="H21" i="5"/>
  <c r="I21" i="5"/>
  <c r="J21" i="5"/>
  <c r="K21" i="5"/>
  <c r="L21" i="5"/>
  <c r="M21" i="5"/>
  <c r="N21" i="5"/>
  <c r="O21" i="5"/>
  <c r="P21" i="5"/>
  <c r="F22" i="5"/>
  <c r="G22" i="5"/>
  <c r="H22" i="5"/>
  <c r="I22" i="5"/>
  <c r="J22" i="5"/>
  <c r="K22" i="5"/>
  <c r="L22" i="5"/>
  <c r="M22" i="5"/>
  <c r="N22" i="5"/>
  <c r="O22" i="5"/>
  <c r="P22" i="5"/>
  <c r="F23" i="5"/>
  <c r="G23" i="5"/>
  <c r="H23" i="5"/>
  <c r="I23" i="5"/>
  <c r="J23" i="5"/>
  <c r="K23" i="5"/>
  <c r="L23" i="5"/>
  <c r="M23" i="5"/>
  <c r="N23" i="5"/>
  <c r="O23" i="5"/>
  <c r="P23" i="5"/>
  <c r="F24" i="5"/>
  <c r="G24" i="5"/>
  <c r="H24" i="5"/>
  <c r="I24" i="5"/>
  <c r="J24" i="5"/>
  <c r="K24" i="5"/>
  <c r="L24" i="5"/>
  <c r="M24" i="5"/>
  <c r="N24" i="5"/>
  <c r="O24" i="5"/>
  <c r="P24" i="5"/>
  <c r="F25" i="5"/>
  <c r="G25" i="5"/>
  <c r="H25" i="5"/>
  <c r="I25" i="5"/>
  <c r="J25" i="5"/>
  <c r="K25" i="5"/>
  <c r="L25" i="5"/>
  <c r="M25" i="5"/>
  <c r="N25" i="5"/>
  <c r="O25" i="5"/>
  <c r="P25" i="5"/>
  <c r="F26" i="5"/>
  <c r="G26" i="5"/>
  <c r="H26" i="5"/>
  <c r="I26" i="5"/>
  <c r="J26" i="5"/>
  <c r="K26" i="5"/>
  <c r="L26" i="5"/>
  <c r="M26" i="5"/>
  <c r="N26" i="5"/>
  <c r="O26" i="5"/>
  <c r="P26" i="5"/>
  <c r="F27" i="5"/>
  <c r="G27" i="5"/>
  <c r="H27" i="5"/>
  <c r="I27" i="5"/>
  <c r="J27" i="5"/>
  <c r="K27" i="5"/>
  <c r="L27" i="5"/>
  <c r="M27" i="5"/>
  <c r="N27" i="5"/>
  <c r="O27" i="5"/>
  <c r="P27" i="5"/>
  <c r="F28" i="5"/>
  <c r="G28" i="5"/>
  <c r="H28" i="5"/>
  <c r="I28" i="5"/>
  <c r="J28" i="5"/>
  <c r="K28" i="5"/>
  <c r="L28" i="5"/>
  <c r="M28" i="5"/>
  <c r="N28" i="5"/>
  <c r="O28" i="5"/>
  <c r="P28" i="5"/>
  <c r="F29" i="5"/>
  <c r="G29" i="5"/>
  <c r="H29" i="5"/>
  <c r="I29" i="5"/>
  <c r="J29" i="5"/>
  <c r="K29" i="5"/>
  <c r="L29" i="5"/>
  <c r="M29" i="5"/>
  <c r="N29" i="5"/>
  <c r="O29" i="5"/>
  <c r="P29" i="5"/>
  <c r="E29" i="5"/>
  <c r="E28" i="5"/>
  <c r="E27" i="5"/>
  <c r="E26" i="5"/>
  <c r="E25" i="5"/>
  <c r="E24" i="5"/>
  <c r="E23" i="5"/>
  <c r="E22" i="5"/>
  <c r="E21" i="5"/>
  <c r="E20" i="5"/>
  <c r="F19" i="5"/>
  <c r="G19" i="5"/>
  <c r="H19" i="5"/>
  <c r="I19" i="5"/>
  <c r="J19" i="5"/>
  <c r="K19" i="5"/>
  <c r="L19" i="5"/>
  <c r="M19" i="5"/>
  <c r="N19" i="5"/>
  <c r="O19" i="5"/>
  <c r="P19" i="5"/>
  <c r="Q19" i="5"/>
  <c r="E19" i="5"/>
  <c r="F13" i="5"/>
  <c r="G13" i="5"/>
  <c r="H13" i="5"/>
  <c r="I13" i="5"/>
  <c r="J13" i="5"/>
  <c r="K13" i="5"/>
  <c r="L13" i="5"/>
  <c r="M13" i="5"/>
  <c r="N13" i="5"/>
  <c r="O13" i="5"/>
  <c r="P13" i="5"/>
  <c r="E13" i="5"/>
  <c r="B6" i="4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2" i="1"/>
  <c r="B13" i="4"/>
  <c r="B8" i="4"/>
  <c r="B11" i="4" s="1"/>
  <c r="F5" i="5"/>
  <c r="G5" i="5" s="1"/>
  <c r="H5" i="5" s="1"/>
  <c r="I5" i="5" s="1"/>
  <c r="B3" i="4"/>
  <c r="E7" i="5" s="1"/>
  <c r="B10" i="4"/>
  <c r="V113" i="1"/>
  <c r="M121" i="1"/>
  <c r="M120" i="1"/>
  <c r="M119" i="1"/>
  <c r="M118" i="1"/>
  <c r="M117" i="1"/>
  <c r="M116" i="1"/>
  <c r="M115" i="1"/>
  <c r="M114" i="1"/>
  <c r="M113" i="1"/>
  <c r="M112" i="1"/>
  <c r="M111" i="1"/>
  <c r="E9" i="5" l="1"/>
  <c r="Q22" i="5"/>
  <c r="Q21" i="5"/>
  <c r="Q13" i="5"/>
  <c r="Q20" i="5"/>
  <c r="Q24" i="5"/>
  <c r="Q26" i="5"/>
  <c r="Q28" i="5"/>
  <c r="Q29" i="5"/>
  <c r="Q14" i="5"/>
  <c r="Q27" i="5"/>
  <c r="Q25" i="5"/>
  <c r="Q23" i="5"/>
  <c r="N111" i="1"/>
  <c r="N112" i="1"/>
  <c r="N113" i="1"/>
  <c r="N114" i="1"/>
  <c r="N115" i="1"/>
  <c r="N116" i="1"/>
  <c r="N117" i="1"/>
  <c r="N118" i="1"/>
  <c r="N119" i="1"/>
  <c r="N120" i="1"/>
  <c r="M123" i="1"/>
  <c r="M124" i="1"/>
  <c r="E10" i="5"/>
  <c r="J5" i="5"/>
  <c r="I7" i="5"/>
  <c r="I8" i="5" s="1"/>
  <c r="E8" i="5"/>
  <c r="H7" i="5"/>
  <c r="H8" i="5" s="1"/>
  <c r="G7" i="5"/>
  <c r="G8" i="5" s="1"/>
  <c r="F7" i="5"/>
  <c r="F8" i="5" s="1"/>
  <c r="I11" i="5" l="1"/>
  <c r="F11" i="5"/>
  <c r="G11" i="5"/>
  <c r="H11" i="5"/>
  <c r="E11" i="5"/>
  <c r="E12" i="5"/>
  <c r="E15" i="5" s="1"/>
  <c r="F9" i="5"/>
  <c r="M125" i="1"/>
  <c r="N121" i="1"/>
  <c r="K5" i="5"/>
  <c r="J7" i="5"/>
  <c r="J8" i="5" s="1"/>
  <c r="E30" i="5" l="1"/>
  <c r="E31" i="5"/>
  <c r="E33" i="5" s="1"/>
  <c r="E38" i="5" s="1"/>
  <c r="E42" i="5" s="1"/>
  <c r="J11" i="5"/>
  <c r="G9" i="5"/>
  <c r="F10" i="5"/>
  <c r="L5" i="5"/>
  <c r="K7" i="5"/>
  <c r="E34" i="5" l="1"/>
  <c r="F12" i="5"/>
  <c r="F15" i="5" s="1"/>
  <c r="H9" i="5"/>
  <c r="G10" i="5"/>
  <c r="G12" i="5" s="1"/>
  <c r="G15" i="5" s="1"/>
  <c r="K8" i="5"/>
  <c r="L7" i="5"/>
  <c r="L8" i="5" s="1"/>
  <c r="M5" i="5"/>
  <c r="G30" i="5" l="1"/>
  <c r="G31" i="5" s="1"/>
  <c r="G33" i="5" s="1"/>
  <c r="G38" i="5" s="1"/>
  <c r="G42" i="5" s="1"/>
  <c r="F30" i="5"/>
  <c r="F31" i="5"/>
  <c r="F33" i="5" s="1"/>
  <c r="F38" i="5" s="1"/>
  <c r="F42" i="5" s="1"/>
  <c r="L11" i="5"/>
  <c r="K11" i="5"/>
  <c r="H10" i="5"/>
  <c r="H12" i="5" s="1"/>
  <c r="H15" i="5" s="1"/>
  <c r="I9" i="5"/>
  <c r="N5" i="5"/>
  <c r="M7" i="5"/>
  <c r="M8" i="5" s="1"/>
  <c r="H30" i="5" l="1"/>
  <c r="G34" i="5"/>
  <c r="H31" i="5"/>
  <c r="H33" i="5" s="1"/>
  <c r="H38" i="5" s="1"/>
  <c r="H42" i="5" s="1"/>
  <c r="M11" i="5"/>
  <c r="J9" i="5"/>
  <c r="I10" i="5"/>
  <c r="I12" i="5" s="1"/>
  <c r="I15" i="5" s="1"/>
  <c r="O5" i="5"/>
  <c r="N7" i="5"/>
  <c r="I30" i="5" l="1"/>
  <c r="H34" i="5"/>
  <c r="F34" i="5"/>
  <c r="I31" i="5"/>
  <c r="I33" i="5" s="1"/>
  <c r="I38" i="5" s="1"/>
  <c r="I42" i="5" s="1"/>
  <c r="K9" i="5"/>
  <c r="J10" i="5"/>
  <c r="J12" i="5" s="1"/>
  <c r="J15" i="5" s="1"/>
  <c r="N8" i="5"/>
  <c r="P5" i="5"/>
  <c r="O7" i="5"/>
  <c r="O8" i="5" s="1"/>
  <c r="J30" i="5" l="1"/>
  <c r="I34" i="5"/>
  <c r="J31" i="5"/>
  <c r="J33" i="5" s="1"/>
  <c r="J38" i="5" s="1"/>
  <c r="J42" i="5" s="1"/>
  <c r="P7" i="5"/>
  <c r="P8" i="5" s="1"/>
  <c r="P11" i="5" s="1"/>
  <c r="Q37" i="5"/>
  <c r="O11" i="5"/>
  <c r="N11" i="5"/>
  <c r="L9" i="5"/>
  <c r="K10" i="5"/>
  <c r="K12" i="5" s="1"/>
  <c r="K15" i="5" s="1"/>
  <c r="K30" i="5" l="1"/>
  <c r="Q7" i="5"/>
  <c r="Q8" i="5" s="1"/>
  <c r="J34" i="5"/>
  <c r="K31" i="5"/>
  <c r="K33" i="5" s="1"/>
  <c r="K38" i="5" s="1"/>
  <c r="K42" i="5" s="1"/>
  <c r="Q11" i="5"/>
  <c r="M9" i="5"/>
  <c r="L10" i="5"/>
  <c r="L12" i="5" s="1"/>
  <c r="L15" i="5" s="1"/>
  <c r="L30" i="5" l="1"/>
  <c r="K34" i="5"/>
  <c r="L31" i="5"/>
  <c r="L33" i="5" s="1"/>
  <c r="L38" i="5" s="1"/>
  <c r="L42" i="5" s="1"/>
  <c r="N9" i="5"/>
  <c r="M10" i="5"/>
  <c r="M12" i="5" s="1"/>
  <c r="M15" i="5" s="1"/>
  <c r="M30" i="5" l="1"/>
  <c r="L34" i="5"/>
  <c r="M31" i="5"/>
  <c r="M33" i="5" s="1"/>
  <c r="M38" i="5" s="1"/>
  <c r="M42" i="5" s="1"/>
  <c r="O9" i="5"/>
  <c r="N10" i="5"/>
  <c r="N12" i="5" s="1"/>
  <c r="N15" i="5" s="1"/>
  <c r="N30" i="5" l="1"/>
  <c r="M34" i="5"/>
  <c r="N31" i="5"/>
  <c r="N33" i="5" s="1"/>
  <c r="N38" i="5" s="1"/>
  <c r="N42" i="5" s="1"/>
  <c r="P9" i="5"/>
  <c r="O10" i="5"/>
  <c r="O12" i="5" s="1"/>
  <c r="O15" i="5" s="1"/>
  <c r="O30" i="5" l="1"/>
  <c r="N34" i="5"/>
  <c r="O31" i="5"/>
  <c r="O33" i="5" s="1"/>
  <c r="O38" i="5" s="1"/>
  <c r="O42" i="5" s="1"/>
  <c r="P10" i="5"/>
  <c r="Q9" i="5"/>
  <c r="O34" i="5" l="1"/>
  <c r="Q10" i="5"/>
  <c r="Q12" i="5" s="1"/>
  <c r="Q15" i="5" s="1"/>
  <c r="P12" i="5"/>
  <c r="P15" i="5" s="1"/>
  <c r="P30" i="5" l="1"/>
  <c r="P31" i="5"/>
  <c r="P33" i="5" s="1"/>
  <c r="P38" i="5" s="1"/>
  <c r="P42" i="5" s="1"/>
  <c r="Q30" i="5"/>
  <c r="Q31" i="5" s="1"/>
  <c r="Q33" i="5" s="1"/>
  <c r="Q38" i="5" s="1"/>
  <c r="Q42" i="5" s="1"/>
  <c r="P34" i="5" l="1"/>
  <c r="Q34" i="5"/>
</calcChain>
</file>

<file path=xl/sharedStrings.xml><?xml version="1.0" encoding="utf-8"?>
<sst xmlns="http://schemas.openxmlformats.org/spreadsheetml/2006/main" count="977" uniqueCount="574">
  <si>
    <t>Unit</t>
  </si>
  <si>
    <t>Floorplan</t>
  </si>
  <si>
    <t>Unit 
Designation</t>
  </si>
  <si>
    <t>SQFT</t>
  </si>
  <si>
    <t>Unit/Lease Status</t>
  </si>
  <si>
    <t>Name</t>
  </si>
  <si>
    <t>Move-In</t>
  </si>
  <si>
    <t>Move-Out</t>
  </si>
  <si>
    <t>Lease Start</t>
  </si>
  <si>
    <t>Lease End</t>
  </si>
  <si>
    <t>Lease End Month</t>
  </si>
  <si>
    <t>Market + Addl.</t>
  </si>
  <si>
    <t>Required
Deposit</t>
  </si>
  <si>
    <t>Dep On Hand</t>
  </si>
  <si>
    <t>Balance</t>
  </si>
  <si>
    <t>Lease Rent</t>
  </si>
  <si>
    <t>RENT</t>
  </si>
  <si>
    <t>GARAGE</t>
  </si>
  <si>
    <t>PETFEE</t>
  </si>
  <si>
    <t>RENTHA</t>
  </si>
  <si>
    <t>STORAGE</t>
  </si>
  <si>
    <t>EMPLCRED</t>
  </si>
  <si>
    <t>Total Billing</t>
  </si>
  <si>
    <t>1644</t>
  </si>
  <si>
    <t>11CAR</t>
  </si>
  <si>
    <t>Conventional</t>
  </si>
  <si>
    <t>Occupied</t>
  </si>
  <si>
    <t>Resident 001</t>
  </si>
  <si>
    <t>09/15/2015</t>
  </si>
  <si>
    <t>08/01/2025</t>
  </si>
  <si>
    <t>07/31/2026</t>
  </si>
  <si>
    <t>1650</t>
  </si>
  <si>
    <t>Resident 002</t>
  </si>
  <si>
    <t>02/24/2024</t>
  </si>
  <si>
    <t>04/24/2025</t>
  </si>
  <si>
    <t>04/23/2026</t>
  </si>
  <si>
    <t>1635A</t>
  </si>
  <si>
    <t>31CBR</t>
  </si>
  <si>
    <t>Section 8</t>
  </si>
  <si>
    <t>Resident 003</t>
  </si>
  <si>
    <t>03/29/2022</t>
  </si>
  <si>
    <t>04/01/2025</t>
  </si>
  <si>
    <t>03/31/2026</t>
  </si>
  <si>
    <t>1635B</t>
  </si>
  <si>
    <t>Resident 004</t>
  </si>
  <si>
    <t>05/28/2025</t>
  </si>
  <si>
    <t>05/27/2026</t>
  </si>
  <si>
    <t>1635C</t>
  </si>
  <si>
    <t>21CBR</t>
  </si>
  <si>
    <t>Resident 005</t>
  </si>
  <si>
    <t>04/03/2025</t>
  </si>
  <si>
    <t>04/02/2026</t>
  </si>
  <si>
    <t>1635D</t>
  </si>
  <si>
    <t>Resident 006</t>
  </si>
  <si>
    <t>06/03/2025</t>
  </si>
  <si>
    <t>05/02/2026</t>
  </si>
  <si>
    <t>1635E</t>
  </si>
  <si>
    <t>Resident 007</t>
  </si>
  <si>
    <t>08/01/2023</t>
  </si>
  <si>
    <t>01/30/2025</t>
  </si>
  <si>
    <t>01/29/2026</t>
  </si>
  <si>
    <t>1635F</t>
  </si>
  <si>
    <t>Resident 008</t>
  </si>
  <si>
    <t>11/19/2021</t>
  </si>
  <si>
    <t>06/11/2025</t>
  </si>
  <si>
    <t>07/10/2026</t>
  </si>
  <si>
    <t>1635G</t>
  </si>
  <si>
    <t>Vacant</t>
  </si>
  <si>
    <t>1635H</t>
  </si>
  <si>
    <t>Resident 009</t>
  </si>
  <si>
    <t>02/28/2024</t>
  </si>
  <si>
    <t>03/28/2025</t>
  </si>
  <si>
    <t>03/27/2026</t>
  </si>
  <si>
    <t>1645A</t>
  </si>
  <si>
    <t>31CAR</t>
  </si>
  <si>
    <t>Resident 010</t>
  </si>
  <si>
    <t>05/18/2019</t>
  </si>
  <si>
    <t>07/15/2025</t>
  </si>
  <si>
    <t>07/14/2026</t>
  </si>
  <si>
    <t>1645B</t>
  </si>
  <si>
    <t>Resident 011</t>
  </si>
  <si>
    <t>08/02/2023</t>
  </si>
  <si>
    <t>11/02/2024</t>
  </si>
  <si>
    <t>1645C</t>
  </si>
  <si>
    <t>Resident 012</t>
  </si>
  <si>
    <t>02/15/2024</t>
  </si>
  <si>
    <t>08/15/2025</t>
  </si>
  <si>
    <t>03/14/2027</t>
  </si>
  <si>
    <t>1645D</t>
  </si>
  <si>
    <t>Resident 013</t>
  </si>
  <si>
    <t>01/08/2020</t>
  </si>
  <si>
    <t>04/04/2024</t>
  </si>
  <si>
    <t>07/27/2025</t>
  </si>
  <si>
    <t>1645E</t>
  </si>
  <si>
    <t>Resident 014</t>
  </si>
  <si>
    <t>03/18/2025</t>
  </si>
  <si>
    <t>03/17/2026</t>
  </si>
  <si>
    <t>1645F</t>
  </si>
  <si>
    <t>Resident 015</t>
  </si>
  <si>
    <t>04/15/2023</t>
  </si>
  <si>
    <t>08/06/2025</t>
  </si>
  <si>
    <t>09/05/2025</t>
  </si>
  <si>
    <t>1645G</t>
  </si>
  <si>
    <t>21CAR</t>
  </si>
  <si>
    <t>Resident 016</t>
  </si>
  <si>
    <t>05/02/2024</t>
  </si>
  <si>
    <t>06/02/2025</t>
  </si>
  <si>
    <t>06/01/2026</t>
  </si>
  <si>
    <t>1645H</t>
  </si>
  <si>
    <t>Resident 017</t>
  </si>
  <si>
    <t>08/01/2020</t>
  </si>
  <si>
    <t>12/22/2024</t>
  </si>
  <si>
    <t>12/20/2025</t>
  </si>
  <si>
    <t>1655A</t>
  </si>
  <si>
    <t>Resident 018</t>
  </si>
  <si>
    <t>02/16/2024</t>
  </si>
  <si>
    <t>02/15/2025</t>
  </si>
  <si>
    <t>1655B</t>
  </si>
  <si>
    <t>Resident 019</t>
  </si>
  <si>
    <t>06/23/2024</t>
  </si>
  <si>
    <t>05/23/2025</t>
  </si>
  <si>
    <t>05/22/2026</t>
  </si>
  <si>
    <t>1655C</t>
  </si>
  <si>
    <t>Employee Housing</t>
  </si>
  <si>
    <t>Resident 020</t>
  </si>
  <si>
    <t>12/01/2019</t>
  </si>
  <si>
    <t>05/31/2021</t>
  </si>
  <si>
    <t>1655D</t>
  </si>
  <si>
    <t>Resident 021</t>
  </si>
  <si>
    <t>02/14/2019</t>
  </si>
  <si>
    <t>05/11/2025</t>
  </si>
  <si>
    <t>05/10/2026</t>
  </si>
  <si>
    <t>1655E</t>
  </si>
  <si>
    <t>Resident 022</t>
  </si>
  <si>
    <t>01/20/2025</t>
  </si>
  <si>
    <t>01/19/2026</t>
  </si>
  <si>
    <t>1655F</t>
  </si>
  <si>
    <t>Resident 023</t>
  </si>
  <si>
    <t>04/27/2024</t>
  </si>
  <si>
    <t>05/27/2025</t>
  </si>
  <si>
    <t>05/26/2026</t>
  </si>
  <si>
    <t>1655G</t>
  </si>
  <si>
    <t>Resident 024</t>
  </si>
  <si>
    <t>09/30/2023</t>
  </si>
  <si>
    <t>03/27/2025</t>
  </si>
  <si>
    <t>08/26/2026</t>
  </si>
  <si>
    <t>1655H</t>
  </si>
  <si>
    <t>Occupied-NTV</t>
  </si>
  <si>
    <t>Resident 025</t>
  </si>
  <si>
    <t>05/21/2024</t>
  </si>
  <si>
    <t>10/03/2025</t>
  </si>
  <si>
    <t>03/21/2025</t>
  </si>
  <si>
    <t>05/18/2025</t>
  </si>
  <si>
    <t>1656A</t>
  </si>
  <si>
    <t>Resident 026</t>
  </si>
  <si>
    <t>04/27/2023</t>
  </si>
  <si>
    <t>07/18/2025</t>
  </si>
  <si>
    <t>07/17/2026</t>
  </si>
  <si>
    <t>1656B</t>
  </si>
  <si>
    <t>Resident 027</t>
  </si>
  <si>
    <t>07/16/2025</t>
  </si>
  <si>
    <t>07/15/2026</t>
  </si>
  <si>
    <t>1664A</t>
  </si>
  <si>
    <t>Resident 028</t>
  </si>
  <si>
    <t>09/16/2024</t>
  </si>
  <si>
    <t>10/15/2025</t>
  </si>
  <si>
    <t>Pending renewal</t>
  </si>
  <si>
    <t>10/16/2025</t>
  </si>
  <si>
    <t>10/15/2026</t>
  </si>
  <si>
    <t>1664B</t>
  </si>
  <si>
    <t>Resident 029</t>
  </si>
  <si>
    <t>12/28/2023</t>
  </si>
  <si>
    <t>06/28/2025</t>
  </si>
  <si>
    <t>06/27/2026</t>
  </si>
  <si>
    <t>1664C</t>
  </si>
  <si>
    <t>Resident 030</t>
  </si>
  <si>
    <t>08/31/2026</t>
  </si>
  <si>
    <t>1664D</t>
  </si>
  <si>
    <t>1664E</t>
  </si>
  <si>
    <t>Resident 031</t>
  </si>
  <si>
    <t>01/17/2019</t>
  </si>
  <si>
    <t>03/01/2025</t>
  </si>
  <si>
    <t>1664F</t>
  </si>
  <si>
    <t>Resident 032</t>
  </si>
  <si>
    <t>06/05/2019</t>
  </si>
  <si>
    <t>06/22/2025</t>
  </si>
  <si>
    <t>06/21/2026</t>
  </si>
  <si>
    <t>1664G</t>
  </si>
  <si>
    <t>Resident 033</t>
  </si>
  <si>
    <t>05/20/2025</t>
  </si>
  <si>
    <t>05/19/2026</t>
  </si>
  <si>
    <t>1664H</t>
  </si>
  <si>
    <t>Resident 034</t>
  </si>
  <si>
    <t>07/26/2022</t>
  </si>
  <si>
    <t>07/19/2025</t>
  </si>
  <si>
    <t>07/18/2026</t>
  </si>
  <si>
    <t>1674A</t>
  </si>
  <si>
    <t>Resident 035</t>
  </si>
  <si>
    <t>05/15/2025</t>
  </si>
  <si>
    <t>05/14/2026</t>
  </si>
  <si>
    <t>1674B</t>
  </si>
  <si>
    <t>Resident 036</t>
  </si>
  <si>
    <t>01/24/2025</t>
  </si>
  <si>
    <t>01/23/2026</t>
  </si>
  <si>
    <t>1674C</t>
  </si>
  <si>
    <t>Resident 037</t>
  </si>
  <si>
    <t>01/24/2021</t>
  </si>
  <si>
    <t>08/23/2025</t>
  </si>
  <si>
    <t>08/22/2026</t>
  </si>
  <si>
    <t>1674D</t>
  </si>
  <si>
    <t>Resident 038</t>
  </si>
  <si>
    <t>10/24/2020</t>
  </si>
  <si>
    <t>08/31/2023</t>
  </si>
  <si>
    <t>1674E</t>
  </si>
  <si>
    <t>Resident 039</t>
  </si>
  <si>
    <t>05/31/2022</t>
  </si>
  <si>
    <t>05/31/2024</t>
  </si>
  <si>
    <t>06/06/2025</t>
  </si>
  <si>
    <t>1674F</t>
  </si>
  <si>
    <t>Resident 040</t>
  </si>
  <si>
    <t>12/28/2021</t>
  </si>
  <si>
    <t>07/28/2024</t>
  </si>
  <si>
    <t>11/27/2025</t>
  </si>
  <si>
    <t>1684A</t>
  </si>
  <si>
    <t>Resident 041</t>
  </si>
  <si>
    <t>1684B</t>
  </si>
  <si>
    <t>Resident 042</t>
  </si>
  <si>
    <t>09/22/2025</t>
  </si>
  <si>
    <t>09/19/2026</t>
  </si>
  <si>
    <t>1684C</t>
  </si>
  <si>
    <t>Resident 043</t>
  </si>
  <si>
    <t>05/09/2025</t>
  </si>
  <si>
    <t>05/08/2026</t>
  </si>
  <si>
    <t>1684D</t>
  </si>
  <si>
    <t>Resident 044</t>
  </si>
  <si>
    <t>07/01/2025</t>
  </si>
  <si>
    <t>06/30/2026</t>
  </si>
  <si>
    <t>1684E</t>
  </si>
  <si>
    <t>Resident 045</t>
  </si>
  <si>
    <t>07/31/2020</t>
  </si>
  <si>
    <t>04/21/2025</t>
  </si>
  <si>
    <t>06/20/2026</t>
  </si>
  <si>
    <t>1684F</t>
  </si>
  <si>
    <t>Resident 046</t>
  </si>
  <si>
    <t>03/13/2025</t>
  </si>
  <si>
    <t>03/10/2026</t>
  </si>
  <si>
    <t>1684G</t>
  </si>
  <si>
    <t>Resident 047</t>
  </si>
  <si>
    <t>08/08/2025</t>
  </si>
  <si>
    <t>06/07/2026</t>
  </si>
  <si>
    <t>1684H</t>
  </si>
  <si>
    <t>Resident 048</t>
  </si>
  <si>
    <t>1687A</t>
  </si>
  <si>
    <t>Resident 049</t>
  </si>
  <si>
    <t>06/05/2021</t>
  </si>
  <si>
    <t>05/04/2022</t>
  </si>
  <si>
    <t>1687B</t>
  </si>
  <si>
    <t>Resident 050</t>
  </si>
  <si>
    <t>02/01/2022</t>
  </si>
  <si>
    <t>08/25/2025</t>
  </si>
  <si>
    <t>08/17/2026</t>
  </si>
  <si>
    <t>1687C</t>
  </si>
  <si>
    <t>Resident 051</t>
  </si>
  <si>
    <t>11/01/2023</t>
  </si>
  <si>
    <t>04/29/2025</t>
  </si>
  <si>
    <t>09/28/2026</t>
  </si>
  <si>
    <t>1687D</t>
  </si>
  <si>
    <t>Resident 052</t>
  </si>
  <si>
    <t>08/01/2022</t>
  </si>
  <si>
    <t>09/06/2025</t>
  </si>
  <si>
    <t>09/12/2026</t>
  </si>
  <si>
    <t>1687E</t>
  </si>
  <si>
    <t>1687F</t>
  </si>
  <si>
    <t>Resident 053</t>
  </si>
  <si>
    <t>08/14/2025</t>
  </si>
  <si>
    <t>09/13/2026</t>
  </si>
  <si>
    <t>1687G</t>
  </si>
  <si>
    <t>Resident 054</t>
  </si>
  <si>
    <t>11/01/2022</t>
  </si>
  <si>
    <t>04/30/2025</t>
  </si>
  <si>
    <t>04/29/2026</t>
  </si>
  <si>
    <t>1687H</t>
  </si>
  <si>
    <t>Resident 055</t>
  </si>
  <si>
    <t>05/10/2025</t>
  </si>
  <si>
    <t>05/09/2026</t>
  </si>
  <si>
    <t>1693A</t>
  </si>
  <si>
    <t>Resident 056</t>
  </si>
  <si>
    <t>03/01/2024</t>
  </si>
  <si>
    <t>02/01/2025</t>
  </si>
  <si>
    <t>01/31/2026</t>
  </si>
  <si>
    <t>1693B</t>
  </si>
  <si>
    <t>Resident 057</t>
  </si>
  <si>
    <t>06/17/2024</t>
  </si>
  <si>
    <t>08/16/2025</t>
  </si>
  <si>
    <t>1694A</t>
  </si>
  <si>
    <t>Resident 058</t>
  </si>
  <si>
    <t>02/03/2021</t>
  </si>
  <si>
    <t>02/05/2025</t>
  </si>
  <si>
    <t>02/04/2026</t>
  </si>
  <si>
    <t>1694B</t>
  </si>
  <si>
    <t>Resident 059</t>
  </si>
  <si>
    <t>11/16/2025</t>
  </si>
  <si>
    <t>06/14/2025</t>
  </si>
  <si>
    <t>1699A</t>
  </si>
  <si>
    <t>Resident 060</t>
  </si>
  <si>
    <t>06/15/2021</t>
  </si>
  <si>
    <t>05/08/2025</t>
  </si>
  <si>
    <t>1699B</t>
  </si>
  <si>
    <t>Resident 061</t>
  </si>
  <si>
    <t>10/31/2023</t>
  </si>
  <si>
    <t>1700A</t>
  </si>
  <si>
    <t>Resident 062</t>
  </si>
  <si>
    <t>12/18/2024</t>
  </si>
  <si>
    <t>12/16/2025</t>
  </si>
  <si>
    <t>1700B</t>
  </si>
  <si>
    <t>Resident 063</t>
  </si>
  <si>
    <t>01/18/2024</t>
  </si>
  <si>
    <t>01/18/2025</t>
  </si>
  <si>
    <t>01/17/2026</t>
  </si>
  <si>
    <t>1705A</t>
  </si>
  <si>
    <t>Resident 064</t>
  </si>
  <si>
    <t>11/28/2020</t>
  </si>
  <si>
    <t>1705B</t>
  </si>
  <si>
    <t>Resident 065</t>
  </si>
  <si>
    <t>06/13/2025</t>
  </si>
  <si>
    <t>06/12/2026</t>
  </si>
  <si>
    <t>1706A</t>
  </si>
  <si>
    <t>Resident 066</t>
  </si>
  <si>
    <t>04/12/2025</t>
  </si>
  <si>
    <t>04/11/2026</t>
  </si>
  <si>
    <t>1706B</t>
  </si>
  <si>
    <t>Resident 067</t>
  </si>
  <si>
    <t>1714A</t>
  </si>
  <si>
    <t>1714B</t>
  </si>
  <si>
    <t>Resident 068</t>
  </si>
  <si>
    <t>03/23/2013</t>
  </si>
  <si>
    <t>03/07/2023</t>
  </si>
  <si>
    <t>03/06/2024</t>
  </si>
  <si>
    <t>1714C</t>
  </si>
  <si>
    <t>Resident 069</t>
  </si>
  <si>
    <t>01/28/2025</t>
  </si>
  <si>
    <t>01/27/2026</t>
  </si>
  <si>
    <t>1714D</t>
  </si>
  <si>
    <t>Resident 070</t>
  </si>
  <si>
    <t>09/01/2025</t>
  </si>
  <si>
    <t>1714E</t>
  </si>
  <si>
    <t>Resident 071</t>
  </si>
  <si>
    <t>12/17/2025</t>
  </si>
  <si>
    <t>1715A</t>
  </si>
  <si>
    <t>Resident 072</t>
  </si>
  <si>
    <t>06/22/2024</t>
  </si>
  <si>
    <t>05/22/2025</t>
  </si>
  <si>
    <t>05/21/2026</t>
  </si>
  <si>
    <t>1715B</t>
  </si>
  <si>
    <t>Resident 073</t>
  </si>
  <si>
    <t>01/23/2024</t>
  </si>
  <si>
    <t>07/22/2025</t>
  </si>
  <si>
    <t>1715C</t>
  </si>
  <si>
    <t>Resident 074</t>
  </si>
  <si>
    <t>02/13/2015</t>
  </si>
  <si>
    <t>04/18/2025</t>
  </si>
  <si>
    <t>04/17/2026</t>
  </si>
  <si>
    <t>1715D</t>
  </si>
  <si>
    <t>Resident 075</t>
  </si>
  <si>
    <t>01/23/2023</t>
  </si>
  <si>
    <t>07/23/2025</t>
  </si>
  <si>
    <t>09/22/2026</t>
  </si>
  <si>
    <t>1715E</t>
  </si>
  <si>
    <t>Resident 076</t>
  </si>
  <si>
    <t>11/30/2024</t>
  </si>
  <si>
    <t>11/22/2025</t>
  </si>
  <si>
    <t>1720A</t>
  </si>
  <si>
    <t>Vacant-Leased</t>
  </si>
  <si>
    <t>Applicant</t>
  </si>
  <si>
    <t>Resident 077</t>
  </si>
  <si>
    <t>1720B</t>
  </si>
  <si>
    <t>Resident 078</t>
  </si>
  <si>
    <t>05/15/2022</t>
  </si>
  <si>
    <t>05/07/2026</t>
  </si>
  <si>
    <t>1720C</t>
  </si>
  <si>
    <t>Resident 079</t>
  </si>
  <si>
    <t>05/27/2023</t>
  </si>
  <si>
    <t>10/23/2025</t>
  </si>
  <si>
    <t>09/24/2025</t>
  </si>
  <si>
    <t>1720D</t>
  </si>
  <si>
    <t>Resident 080</t>
  </si>
  <si>
    <t>03/15/2011</t>
  </si>
  <si>
    <t>08/27/2025</t>
  </si>
  <si>
    <t>08/19/2026</t>
  </si>
  <si>
    <t>1720E</t>
  </si>
  <si>
    <t>Resident 081</t>
  </si>
  <si>
    <t>02/27/2021</t>
  </si>
  <si>
    <t>1720F</t>
  </si>
  <si>
    <t>Resident 082</t>
  </si>
  <si>
    <t>06/27/2025</t>
  </si>
  <si>
    <t>06/26/2026</t>
  </si>
  <si>
    <t>1721A</t>
  </si>
  <si>
    <t>Resident 083</t>
  </si>
  <si>
    <t>08/11/2025</t>
  </si>
  <si>
    <t>08/10/2026</t>
  </si>
  <si>
    <t>1721B</t>
  </si>
  <si>
    <t>Resident 084</t>
  </si>
  <si>
    <t>06/08/2024</t>
  </si>
  <si>
    <t>07/08/2025</t>
  </si>
  <si>
    <t>07/07/2026</t>
  </si>
  <si>
    <t>1721C</t>
  </si>
  <si>
    <t>Resident 085</t>
  </si>
  <si>
    <t>03/11/2021</t>
  </si>
  <si>
    <t>06/10/2022</t>
  </si>
  <si>
    <t>1721D</t>
  </si>
  <si>
    <t>Resident 086</t>
  </si>
  <si>
    <t>11/20/2024</t>
  </si>
  <si>
    <t>03/19/2026</t>
  </si>
  <si>
    <t>1721E</t>
  </si>
  <si>
    <t>Resident 087</t>
  </si>
  <si>
    <t>06/13/2023</t>
  </si>
  <si>
    <t>09/13/2024</t>
  </si>
  <si>
    <t>12/12/2025</t>
  </si>
  <si>
    <t>1721F</t>
  </si>
  <si>
    <t>Resident 088</t>
  </si>
  <si>
    <t>09/15/2020</t>
  </si>
  <si>
    <t>12/12/2021</t>
  </si>
  <si>
    <t>10/31/2022</t>
  </si>
  <si>
    <t>1731A</t>
  </si>
  <si>
    <t>Resident 089</t>
  </si>
  <si>
    <t>05/18/2024</t>
  </si>
  <si>
    <t>06/18/2025</t>
  </si>
  <si>
    <t>06/17/2026</t>
  </si>
  <si>
    <t>1731B</t>
  </si>
  <si>
    <t>Resident 090</t>
  </si>
  <si>
    <t>03/08/2025</t>
  </si>
  <si>
    <t>03/07/2026</t>
  </si>
  <si>
    <t>1732A</t>
  </si>
  <si>
    <t>Resident 091</t>
  </si>
  <si>
    <t>07/04/2025</t>
  </si>
  <si>
    <t>07/03/2026</t>
  </si>
  <si>
    <t>1732B</t>
  </si>
  <si>
    <t>Resident 092</t>
  </si>
  <si>
    <t>05/16/2019</t>
  </si>
  <si>
    <t>1739A</t>
  </si>
  <si>
    <t>Resident 093</t>
  </si>
  <si>
    <t>01/06/2023</t>
  </si>
  <si>
    <t>07/05/2025</t>
  </si>
  <si>
    <t>09/04/2026</t>
  </si>
  <si>
    <t>1739B</t>
  </si>
  <si>
    <t>Resident 094</t>
  </si>
  <si>
    <t>05/07/2025</t>
  </si>
  <si>
    <t>1740A</t>
  </si>
  <si>
    <t>Resident 095</t>
  </si>
  <si>
    <t>07/17/2020</t>
  </si>
  <si>
    <t>10/17/2021</t>
  </si>
  <si>
    <t>10/17/2022</t>
  </si>
  <si>
    <t>1740B</t>
  </si>
  <si>
    <t>Resident 096</t>
  </si>
  <si>
    <t>09/15/2023</t>
  </si>
  <si>
    <t>09/15/2025</t>
  </si>
  <si>
    <t>10/14/2025</t>
  </si>
  <si>
    <t>Count of Unit</t>
  </si>
  <si>
    <t>Total</t>
  </si>
  <si>
    <t>Raw Percent of Lease End</t>
  </si>
  <si>
    <t>Normalized Percent</t>
  </si>
  <si>
    <t>Apr-2026</t>
  </si>
  <si>
    <t>Aug-2026</t>
  </si>
  <si>
    <t>Feb-2026</t>
  </si>
  <si>
    <t>Jan-2026</t>
  </si>
  <si>
    <t>Jul-2026</t>
  </si>
  <si>
    <t>Jun-2026</t>
  </si>
  <si>
    <t>Mar-2026</t>
  </si>
  <si>
    <t>May-2026</t>
  </si>
  <si>
    <t>Oct-2026</t>
  </si>
  <si>
    <t>Sep-2026</t>
  </si>
  <si>
    <t>Grand Total</t>
  </si>
  <si>
    <t># Units</t>
  </si>
  <si>
    <t>Average 
SQFT</t>
  </si>
  <si>
    <t>Average Market + Addl.</t>
  </si>
  <si>
    <t>Market + Addl. Amt/SQFT</t>
  </si>
  <si>
    <t>Average 
Leased</t>
  </si>
  <si>
    <t>Leased Amt/SQFT</t>
  </si>
  <si>
    <t>Units 
Occupied</t>
  </si>
  <si>
    <t>Occupancy %</t>
  </si>
  <si>
    <t>Units 
Available</t>
  </si>
  <si>
    <t>Totals / Averages:</t>
  </si>
  <si>
    <t>Occupancy and Rents Summary for Current Date</t>
  </si>
  <si>
    <t>Summary Billing by Transaction Code for Current Date</t>
  </si>
  <si>
    <t>Unit Status</t>
  </si>
  <si>
    <t>Potential Rent</t>
  </si>
  <si>
    <t>Code</t>
  </si>
  <si>
    <t>Amount</t>
  </si>
  <si>
    <t>Occupied, no NTV</t>
  </si>
  <si>
    <t>Occupied, NTV</t>
  </si>
  <si>
    <t>Occupied NTV Leased</t>
  </si>
  <si>
    <t>Vacant Leased</t>
  </si>
  <si>
    <t>Admin/Down</t>
  </si>
  <si>
    <t>Vacant Not Leased</t>
  </si>
  <si>
    <t>Totals:</t>
  </si>
  <si>
    <t>Total:</t>
  </si>
  <si>
    <t>Assumptions</t>
  </si>
  <si>
    <t>Income Assumptions</t>
  </si>
  <si>
    <t>Rent Growth</t>
  </si>
  <si>
    <t>annually</t>
  </si>
  <si>
    <t>Concessions</t>
  </si>
  <si>
    <t>Per year, allocated monthly as appropriate</t>
  </si>
  <si>
    <t>Average Occupancy</t>
  </si>
  <si>
    <t>During 2026</t>
  </si>
  <si>
    <t>Vacancy Rate</t>
  </si>
  <si>
    <t>(1 - average occupancy rate)</t>
  </si>
  <si>
    <t>Renewal Conversion Rate</t>
  </si>
  <si>
    <t>New Lease Rate Calculated</t>
  </si>
  <si>
    <t>(1 - renewal conversion rate)</t>
  </si>
  <si>
    <t>Average Renewal Increase</t>
  </si>
  <si>
    <t>Renewal Share / Unit</t>
  </si>
  <si>
    <t>New Lease Share / Unit</t>
  </si>
  <si>
    <t>RUBS (Recoverable Utility Billing System)</t>
  </si>
  <si>
    <t>of gross utility expense</t>
  </si>
  <si>
    <t>Occupied Units</t>
  </si>
  <si>
    <t>Share of Leases Expiring per Month</t>
  </si>
  <si>
    <t>I included a Pivot Table under Data 'Sheet 1' for calculating the percentage of lease ends for 2026. I created two catchup percentages for November and December as those are the two months with no data given within the rent roll</t>
  </si>
  <si>
    <t>Property Expenses</t>
  </si>
  <si>
    <t>Expense Growth</t>
  </si>
  <si>
    <t>Property Management Fees</t>
  </si>
  <si>
    <t>of total revenue</t>
  </si>
  <si>
    <t>Payroll</t>
  </si>
  <si>
    <t xml:space="preserve"> </t>
  </si>
  <si>
    <t>Property Manager</t>
  </si>
  <si>
    <t>/hour, full time at 80 hours a week</t>
  </si>
  <si>
    <t>Maintenance Supervisor</t>
  </si>
  <si>
    <t>/hour, full time at 80 hours per week</t>
  </si>
  <si>
    <t>Porter</t>
  </si>
  <si>
    <t>/hour, part time at 20 hours per week</t>
  </si>
  <si>
    <t>Burden</t>
  </si>
  <si>
    <t>Repairs &amp; Maintenance (R&amp;M)</t>
  </si>
  <si>
    <t>/unit/year</t>
  </si>
  <si>
    <t>Turnover</t>
  </si>
  <si>
    <t>/turn</t>
  </si>
  <si>
    <t>General &amp; Administrative (G&amp;A)</t>
  </si>
  <si>
    <t>Marketing</t>
  </si>
  <si>
    <t>Landscaping</t>
  </si>
  <si>
    <t>Utilities (gross)</t>
  </si>
  <si>
    <t>Property Tax</t>
  </si>
  <si>
    <t>Insurance</t>
  </si>
  <si>
    <t>Loan Terms</t>
  </si>
  <si>
    <t>Loan Amount</t>
  </si>
  <si>
    <t>Interest Rate</t>
  </si>
  <si>
    <t>(fixed)</t>
  </si>
  <si>
    <t>Amortization</t>
  </si>
  <si>
    <t>Interest only through June 2026, then principal and interest payments beginning July 2026 using 30-year amortization</t>
  </si>
  <si>
    <t>Capex</t>
  </si>
  <si>
    <t>Multifamily Property - Monthly Cash Flow Budget for CY 2026</t>
  </si>
  <si>
    <t>($ USD)</t>
  </si>
  <si>
    <t>Projected CY 2026</t>
  </si>
  <si>
    <t>Property Pro-Forma Model</t>
  </si>
  <si>
    <t>CY 2026</t>
  </si>
  <si>
    <t>Revenue:</t>
  </si>
  <si>
    <t>Market Rent/Unit</t>
  </si>
  <si>
    <t>Total Market Rent (GPR)</t>
  </si>
  <si>
    <t>In-place rent/Unit</t>
  </si>
  <si>
    <t>Gain/Loss to Lease</t>
  </si>
  <si>
    <t>Vacancy Loss</t>
  </si>
  <si>
    <t>Gross Rental Income</t>
  </si>
  <si>
    <t>RUBS</t>
  </si>
  <si>
    <t>Net Rental Income (Total Revenue)</t>
  </si>
  <si>
    <t>Expenses:</t>
  </si>
  <si>
    <t>Payroll:</t>
  </si>
  <si>
    <t>R&amp;M</t>
  </si>
  <si>
    <t>G&amp;A</t>
  </si>
  <si>
    <t>Gross Utilities</t>
  </si>
  <si>
    <t>Management Fees</t>
  </si>
  <si>
    <t>Total Operating Expenses</t>
  </si>
  <si>
    <t>Net Operating Income</t>
  </si>
  <si>
    <t>NOI Margin</t>
  </si>
  <si>
    <t>Debt Services:</t>
  </si>
  <si>
    <t>Debt Service</t>
  </si>
  <si>
    <t>Cash Flow After Debt Service</t>
  </si>
  <si>
    <t>Net 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</si>
</sst>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1010409]General"/>
    <numFmt numFmtId="165" formatCode="mmmm"/>
    <numFmt numFmtId="166" formatCode="0.0000000000000000%"/>
  </numFmts>
  <fonts count="10" x14ac:knownFonts="1">
    <font>
      <sz val="10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3"/>
      <name val="Arial"/>
      <family val="2"/>
    </font>
    <font>
      <sz val="10"/>
      <color rgb="FF00339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wrapText="1"/>
    </xf>
  </cellStyleXfs>
  <cellXfs count="78">
    <xf numFmtId="0" fontId="0" fillId="0" borderId="0" xfId="0">
      <alignment wrapText="1"/>
    </xf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/>
    <xf numFmtId="0" fontId="5" fillId="0" borderId="0" xfId="0" applyFont="1" applyAlignment="1"/>
    <xf numFmtId="0" fontId="6" fillId="0" borderId="0" xfId="0" applyFont="1" applyAlignment="1"/>
    <xf numFmtId="10" fontId="0" fillId="0" borderId="0" xfId="0" applyNumberFormat="1" applyAlignment="1"/>
    <xf numFmtId="0" fontId="6" fillId="0" borderId="0" xfId="0" applyFont="1" applyAlignment="1">
      <alignment horizontal="left"/>
    </xf>
    <xf numFmtId="44" fontId="0" fillId="0" borderId="0" xfId="0" applyNumberFormat="1" applyAlignment="1"/>
    <xf numFmtId="0" fontId="1" fillId="0" borderId="4" xfId="0" applyFont="1" applyBorder="1" applyAlignment="1">
      <alignment vertical="top" wrapText="1"/>
    </xf>
    <xf numFmtId="0" fontId="3" fillId="0" borderId="0" xfId="0" applyFont="1" applyAlignment="1"/>
    <xf numFmtId="0" fontId="5" fillId="0" borderId="0" xfId="0" applyFont="1">
      <alignment wrapText="1"/>
    </xf>
    <xf numFmtId="0" fontId="3" fillId="0" borderId="0" xfId="0" applyFont="1" applyAlignment="1">
      <alignment horizontal="left" wrapText="1" indent="1"/>
    </xf>
    <xf numFmtId="164" fontId="0" fillId="0" borderId="0" xfId="0" applyNumberFormat="1">
      <alignment wrapText="1"/>
    </xf>
    <xf numFmtId="0" fontId="3" fillId="0" borderId="0" xfId="0" applyFont="1" applyAlignment="1">
      <alignment horizontal="left" indent="1"/>
    </xf>
    <xf numFmtId="44" fontId="0" fillId="0" borderId="0" xfId="0" applyNumberFormat="1">
      <alignment wrapText="1"/>
    </xf>
    <xf numFmtId="165" fontId="5" fillId="0" borderId="0" xfId="0" applyNumberFormat="1" applyFont="1" applyAlignment="1">
      <alignment horizontal="center"/>
    </xf>
    <xf numFmtId="0" fontId="7" fillId="0" borderId="0" xfId="0" applyFont="1" applyAlignment="1"/>
    <xf numFmtId="1" fontId="0" fillId="0" borderId="0" xfId="0" applyNumberFormat="1" applyAlignment="1"/>
    <xf numFmtId="0" fontId="0" fillId="0" borderId="5" xfId="0" applyBorder="1">
      <alignment wrapText="1"/>
    </xf>
    <xf numFmtId="0" fontId="0" fillId="0" borderId="5" xfId="0" pivotButton="1" applyBorder="1">
      <alignment wrapText="1"/>
    </xf>
    <xf numFmtId="0" fontId="0" fillId="0" borderId="6" xfId="0" applyBorder="1">
      <alignment wrapText="1"/>
    </xf>
    <xf numFmtId="0" fontId="0" fillId="0" borderId="7" xfId="0" applyBorder="1">
      <alignment wrapText="1"/>
    </xf>
    <xf numFmtId="0" fontId="0" fillId="0" borderId="8" xfId="0" applyBorder="1">
      <alignment wrapText="1"/>
    </xf>
    <xf numFmtId="0" fontId="0" fillId="0" borderId="9" xfId="0" applyBorder="1">
      <alignment wrapText="1"/>
    </xf>
    <xf numFmtId="0" fontId="0" fillId="0" borderId="10" xfId="0" applyBorder="1">
      <alignment wrapText="1"/>
    </xf>
    <xf numFmtId="10" fontId="0" fillId="0" borderId="0" xfId="0" applyNumberFormat="1">
      <alignment wrapText="1"/>
    </xf>
    <xf numFmtId="166" fontId="0" fillId="0" borderId="0" xfId="0" applyNumberFormat="1">
      <alignment wrapText="1"/>
    </xf>
    <xf numFmtId="17" fontId="0" fillId="0" borderId="0" xfId="0" applyNumberFormat="1" applyAlignment="1">
      <alignment horizontal="left" wrapText="1"/>
    </xf>
    <xf numFmtId="10" fontId="0" fillId="0" borderId="11" xfId="0" applyNumberFormat="1" applyBorder="1">
      <alignment wrapText="1"/>
    </xf>
    <xf numFmtId="10" fontId="0" fillId="0" borderId="12" xfId="0" applyNumberFormat="1" applyBorder="1">
      <alignment wrapText="1"/>
    </xf>
    <xf numFmtId="0" fontId="3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1"/>
    </xf>
    <xf numFmtId="44" fontId="5" fillId="0" borderId="12" xfId="0" applyNumberFormat="1" applyFont="1" applyBorder="1">
      <alignment wrapText="1"/>
    </xf>
    <xf numFmtId="44" fontId="5" fillId="0" borderId="0" xfId="0" applyNumberFormat="1" applyFont="1">
      <alignment wrapText="1"/>
    </xf>
    <xf numFmtId="0" fontId="5" fillId="0" borderId="0" xfId="0" applyFont="1" applyAlignment="1">
      <alignment horizontal="left"/>
    </xf>
    <xf numFmtId="44" fontId="5" fillId="0" borderId="12" xfId="0" applyNumberFormat="1" applyFont="1" applyBorder="1" applyAlignment="1"/>
    <xf numFmtId="10" fontId="8" fillId="0" borderId="0" xfId="0" applyNumberFormat="1" applyFont="1" applyAlignment="1"/>
    <xf numFmtId="10" fontId="7" fillId="0" borderId="0" xfId="0" applyNumberFormat="1" applyFont="1">
      <alignment wrapText="1"/>
    </xf>
    <xf numFmtId="10" fontId="9" fillId="0" borderId="0" xfId="0" applyNumberFormat="1" applyFont="1" applyAlignment="1"/>
    <xf numFmtId="44" fontId="9" fillId="0" borderId="0" xfId="0" applyNumberFormat="1" applyFont="1" applyAlignment="1"/>
    <xf numFmtId="0" fontId="9" fillId="0" borderId="0" xfId="0" applyFont="1" applyAlignment="1"/>
    <xf numFmtId="0" fontId="0" fillId="0" borderId="13" xfId="0" applyBorder="1">
      <alignment wrapText="1"/>
    </xf>
    <xf numFmtId="44" fontId="0" fillId="0" borderId="13" xfId="0" applyNumberFormat="1" applyBorder="1" applyAlignment="1"/>
    <xf numFmtId="165" fontId="5" fillId="3" borderId="13" xfId="0" applyNumberFormat="1" applyFont="1" applyFill="1" applyBorder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3" borderId="0" xfId="0" applyFont="1" applyFill="1" applyAlignment="1">
      <alignment horizontal="center"/>
    </xf>
    <xf numFmtId="0" fontId="5" fillId="0" borderId="0" xfId="0" applyFont="1" applyAlignment="1"/>
    <xf numFmtId="0" fontId="7" fillId="0" borderId="0" xfId="0" applyFont="1" applyAlignment="1"/>
    <xf numFmtId="0" fontId="5" fillId="0" borderId="14" xfId="0" applyFont="1" applyBorder="1" applyAlignment="1">
      <alignment horizontal="center"/>
    </xf>
    <xf numFmtId="44" fontId="5" fillId="0" borderId="15" xfId="0" applyNumberFormat="1" applyFont="1" applyBorder="1">
      <alignment wrapText="1"/>
    </xf>
    <xf numFmtId="44" fontId="0" fillId="0" borderId="0" xfId="0" applyNumberFormat="1" applyBorder="1" applyAlignment="1"/>
    <xf numFmtId="44" fontId="0" fillId="0" borderId="0" xfId="0" applyNumberFormat="1" applyBorder="1">
      <alignment wrapText="1"/>
    </xf>
    <xf numFmtId="0" fontId="0" fillId="0" borderId="0" xfId="0" applyBorder="1">
      <alignment wrapText="1"/>
    </xf>
    <xf numFmtId="10" fontId="7" fillId="0" borderId="0" xfId="0" applyNumberFormat="1" applyFont="1" applyBorder="1">
      <alignment wrapText="1"/>
    </xf>
    <xf numFmtId="44" fontId="5" fillId="0" borderId="0" xfId="0" applyNumberFormat="1" applyFont="1" applyBorder="1">
      <alignment wrapText="1"/>
    </xf>
    <xf numFmtId="44" fontId="5" fillId="3" borderId="12" xfId="0" applyNumberFormat="1" applyFont="1" applyFill="1" applyBorder="1">
      <alignment wrapText="1"/>
    </xf>
    <xf numFmtId="44" fontId="0" fillId="0" borderId="16" xfId="0" applyNumberFormat="1" applyBorder="1" applyAlignment="1"/>
    <xf numFmtId="44" fontId="0" fillId="0" borderId="16" xfId="0" applyNumberFormat="1" applyBorder="1">
      <alignment wrapText="1"/>
    </xf>
    <xf numFmtId="44" fontId="5" fillId="0" borderId="15" xfId="0" applyNumberFormat="1" applyFont="1" applyBorder="1" applyAlignment="1"/>
    <xf numFmtId="0" fontId="0" fillId="0" borderId="16" xfId="0" applyBorder="1">
      <alignment wrapText="1"/>
    </xf>
    <xf numFmtId="44" fontId="5" fillId="0" borderId="16" xfId="0" applyNumberFormat="1" applyFont="1" applyBorder="1">
      <alignment wrapText="1"/>
    </xf>
    <xf numFmtId="10" fontId="7" fillId="0" borderId="16" xfId="0" applyNumberFormat="1" applyFont="1" applyBorder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ando Pakel" refreshedDate="45972.980280787036" createdVersion="1" refreshedVersion="8" recordCount="102" upgradeOnRefresh="1" xr:uid="{8C725A0A-A84A-4140-8C2C-20CB58FD05F4}">
  <cacheSource type="worksheet">
    <worksheetSource ref="A1:W103" sheet="Sheet1"/>
  </cacheSource>
  <cacheFields count="23">
    <cacheField name="Unit" numFmtId="0">
      <sharedItems/>
    </cacheField>
    <cacheField name="Floorplan" numFmtId="0">
      <sharedItems/>
    </cacheField>
    <cacheField name="Unit _x000a_Designation" numFmtId="0">
      <sharedItems/>
    </cacheField>
    <cacheField name="SQFT" numFmtId="164">
      <sharedItems containsSemiMixedTypes="0" containsString="0" containsNumber="1" containsInteger="1" minValue="650" maxValue="1094"/>
    </cacheField>
    <cacheField name="Unit/Lease Status" numFmtId="0">
      <sharedItems/>
    </cacheField>
    <cacheField name="Name" numFmtId="0">
      <sharedItems/>
    </cacheField>
    <cacheField name="Move-In" numFmtId="0">
      <sharedItems containsBlank="1"/>
    </cacheField>
    <cacheField name="Move-Out" numFmtId="0">
      <sharedItems containsBlank="1"/>
    </cacheField>
    <cacheField name="Lease Start" numFmtId="0">
      <sharedItems containsBlank="1"/>
    </cacheField>
    <cacheField name="Lease End" numFmtId="0">
      <sharedItems containsBlank="1"/>
    </cacheField>
    <cacheField name="Lease End Month" numFmtId="0">
      <sharedItems count="29">
        <s v="Jul-2026"/>
        <s v="Apr-2026"/>
        <s v="Mar-2026"/>
        <s v="May-2026"/>
        <s v="Jan-2026"/>
        <s v="Jan-1900"/>
        <s v="Nov-2024"/>
        <s v="Mar-2027"/>
        <s v="Jul-2025"/>
        <s v="Sep-2025"/>
        <s v="Jun-2026"/>
        <s v="Dec-2025"/>
        <s v="Feb-2025"/>
        <s v="May-2021"/>
        <s v="Aug-2026"/>
        <s v="May-2025"/>
        <s v="Oct-2025"/>
        <s v="Oct-2026"/>
        <s v="Aug-2023"/>
        <s v="Jun-2025"/>
        <s v="Nov-2025"/>
        <s v="Sep-2026"/>
        <s v="May-2022"/>
        <s v="Aug-2025"/>
        <s v="Feb-2026"/>
        <s v="Apr-2025"/>
        <s v="Mar-2024"/>
        <s v="Jun-2022"/>
        <s v="Oct-2022"/>
      </sharedItems>
    </cacheField>
    <cacheField name="Market + Addl." numFmtId="164">
      <sharedItems containsSemiMixedTypes="0" containsString="0" containsNumber="1" containsInteger="1" minValue="0" maxValue="4489"/>
    </cacheField>
    <cacheField name="Required_x000a_Deposit" numFmtId="164">
      <sharedItems containsSemiMixedTypes="0" containsString="0" containsNumber="1" minValue="0" maxValue="4388"/>
    </cacheField>
    <cacheField name="Dep On Hand" numFmtId="164">
      <sharedItems containsSemiMixedTypes="0" containsString="0" containsNumber="1" minValue="0" maxValue="4388"/>
    </cacheField>
    <cacheField name="Balance" numFmtId="164">
      <sharedItems containsSemiMixedTypes="0" containsString="0" containsNumber="1" minValue="-3992.84" maxValue="10049.18"/>
    </cacheField>
    <cacheField name="Lease Rent" numFmtId="164">
      <sharedItems containsSemiMixedTypes="0" containsString="0" containsNumber="1" containsInteger="1" minValue="0" maxValue="4664"/>
    </cacheField>
    <cacheField name="RENT" numFmtId="164">
      <sharedItems containsSemiMixedTypes="0" containsString="0" containsNumber="1" containsInteger="1" minValue="0" maxValue="4664"/>
    </cacheField>
    <cacheField name="GARAGE" numFmtId="164">
      <sharedItems containsSemiMixedTypes="0" containsString="0" containsNumber="1" containsInteger="1" minValue="0" maxValue="375"/>
    </cacheField>
    <cacheField name="PETFEE" numFmtId="164">
      <sharedItems containsSemiMixedTypes="0" containsString="0" containsNumber="1" containsInteger="1" minValue="0" maxValue="195"/>
    </cacheField>
    <cacheField name="RENTHA" numFmtId="164">
      <sharedItems containsSemiMixedTypes="0" containsString="0" containsNumber="1" containsInteger="1" minValue="0" maxValue="3718"/>
    </cacheField>
    <cacheField name="STORAGE" numFmtId="164">
      <sharedItems containsSemiMixedTypes="0" containsString="0" containsNumber="1" containsInteger="1" minValue="0" maxValue="60"/>
    </cacheField>
    <cacheField name="EMPLCRED" numFmtId="164">
      <sharedItems containsSemiMixedTypes="0" containsString="0" containsNumber="1" containsInteger="1" minValue="-3553" maxValue="0"/>
    </cacheField>
    <cacheField name="Total Billing" numFmtId="164">
      <sharedItems containsSemiMixedTypes="0" containsString="0" containsNumber="1" containsInteger="1" minValue="0" maxValue="47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ns1="http://schemas.openxmlformats.org/markup-compatibility/2006" ns1:Ignorable="xr" count="102">
  <r>
    <s v="1644"/>
    <s v="11CAR"/>
    <s v="Conventional"/>
    <n v="650"/>
    <s v="Occupied"/>
    <s v="Resident 001"/>
    <s v="09/15/2015"/>
    <m/>
    <s v="08/01/2025"/>
    <s v="07/31/2026"/>
    <x v="0"/>
    <n v="3132"/>
    <n v="99"/>
    <n v="449"/>
    <n v="0"/>
    <n v="3063"/>
    <n v="3063"/>
    <n v="0"/>
    <n v="0"/>
    <n v="0"/>
    <n v="60"/>
    <n v="0"/>
    <n v="3123"/>
  </r>
  <r>
    <s v="1650"/>
    <s v="11CAR"/>
    <s v="Conventional"/>
    <n v="650"/>
    <s v="Occupied"/>
    <s v="Resident 002"/>
    <s v="02/24/2024"/>
    <m/>
    <s v="04/24/2025"/>
    <s v="04/23/2026"/>
    <x v="1"/>
    <n v="3157"/>
    <n v="3342"/>
    <n v="3342"/>
    <n v="0"/>
    <n v="2874"/>
    <n v="2874"/>
    <n v="0"/>
    <n v="65"/>
    <n v="0"/>
    <n v="0"/>
    <n v="0"/>
    <n v="2939"/>
  </r>
  <r>
    <s v="1635A"/>
    <s v="31CBR"/>
    <s v="Section 8"/>
    <n v="1094"/>
    <s v="Occupied"/>
    <s v="Resident 003"/>
    <s v="03/29/2022"/>
    <m/>
    <s v="04/01/2025"/>
    <s v="03/31/2026"/>
    <x v="2"/>
    <n v="4149"/>
    <n v="500"/>
    <n v="500"/>
    <n v="4672.6000000000004"/>
    <n v="3944"/>
    <n v="226"/>
    <n v="0"/>
    <n v="0"/>
    <n v="3718"/>
    <n v="0"/>
    <n v="0"/>
    <n v="3944"/>
  </r>
  <r>
    <s v="1635B"/>
    <s v="31CBR"/>
    <s v="Conventional"/>
    <n v="1094"/>
    <s v="Occupied"/>
    <s v="Resident 004"/>
    <s v="05/28/2025"/>
    <m/>
    <s v="05/28/2025"/>
    <s v="05/27/2026"/>
    <x v="3"/>
    <n v="4149"/>
    <n v="500"/>
    <n v="500"/>
    <n v="4592.47"/>
    <n v="4263"/>
    <n v="4263"/>
    <n v="0"/>
    <n v="0"/>
    <n v="0"/>
    <n v="0"/>
    <n v="0"/>
    <n v="4263"/>
  </r>
  <r>
    <s v="1635C"/>
    <s v="21CBR"/>
    <s v="Conventional"/>
    <n v="1094"/>
    <s v="Occupied"/>
    <s v="Resident 005"/>
    <s v="04/03/2025"/>
    <m/>
    <s v="04/03/2025"/>
    <s v="04/02/2026"/>
    <x v="1"/>
    <n v="3881"/>
    <n v="500"/>
    <n v="500"/>
    <n v="0"/>
    <n v="3777"/>
    <n v="3777"/>
    <n v="75"/>
    <n v="0"/>
    <n v="0"/>
    <n v="0"/>
    <n v="0"/>
    <n v="3852"/>
  </r>
  <r>
    <s v="1635D"/>
    <s v="21CBR"/>
    <s v="Conventional"/>
    <n v="1094"/>
    <s v="Occupied"/>
    <s v="Resident 006"/>
    <s v="06/03/2025"/>
    <m/>
    <s v="06/03/2025"/>
    <s v="05/02/2026"/>
    <x v="3"/>
    <n v="3881"/>
    <n v="500"/>
    <n v="500"/>
    <n v="0"/>
    <n v="3788"/>
    <n v="3788"/>
    <n v="75"/>
    <n v="0"/>
    <n v="0"/>
    <n v="0"/>
    <n v="0"/>
    <n v="3863"/>
  </r>
  <r>
    <s v="1635E"/>
    <s v="31CBR"/>
    <s v="Conventional"/>
    <n v="1094"/>
    <s v="Occupied"/>
    <s v="Resident 007"/>
    <s v="08/01/2023"/>
    <m/>
    <s v="01/30/2025"/>
    <s v="01/29/2026"/>
    <x v="4"/>
    <n v="4274"/>
    <n v="500"/>
    <n v="500"/>
    <n v="4196.47"/>
    <n v="3867"/>
    <n v="3867"/>
    <n v="0"/>
    <n v="0"/>
    <n v="0"/>
    <n v="0"/>
    <n v="0"/>
    <n v="3867"/>
  </r>
  <r>
    <s v="1635F"/>
    <s v="31CBR"/>
    <s v="Conventional"/>
    <n v="1094"/>
    <s v="Occupied"/>
    <s v="Resident 008"/>
    <s v="11/19/2021"/>
    <m/>
    <s v="06/11/2025"/>
    <s v="07/10/2026"/>
    <x v="0"/>
    <n v="4274"/>
    <n v="500"/>
    <n v="500"/>
    <n v="4571.47"/>
    <n v="4107"/>
    <n v="4107"/>
    <n v="75"/>
    <n v="0"/>
    <n v="0"/>
    <n v="60"/>
    <n v="0"/>
    <n v="4242"/>
  </r>
  <r>
    <s v="1635G"/>
    <s v="11CAR"/>
    <s v="Conventional"/>
    <n v="650"/>
    <s v="Vacant"/>
    <s v="Vacant"/>
    <m/>
    <m/>
    <m/>
    <m/>
    <x v="5"/>
    <n v="3262"/>
    <n v="0"/>
    <n v="0"/>
    <n v="0"/>
    <n v="0"/>
    <n v="0"/>
    <n v="0"/>
    <n v="0"/>
    <n v="0"/>
    <n v="0"/>
    <n v="0"/>
    <n v="0"/>
  </r>
  <r>
    <s v="1635H"/>
    <s v="11CAR"/>
    <s v="Section 8"/>
    <n v="650"/>
    <s v="Occupied"/>
    <s v="Resident 009"/>
    <s v="02/28/2024"/>
    <m/>
    <s v="03/28/2025"/>
    <s v="03/27/2026"/>
    <x v="2"/>
    <n v="3147"/>
    <n v="3323"/>
    <n v="3323"/>
    <n v="6140.14"/>
    <n v="2853"/>
    <n v="926"/>
    <n v="0"/>
    <n v="195"/>
    <n v="1927"/>
    <n v="0"/>
    <n v="0"/>
    <n v="3048"/>
  </r>
  <r>
    <s v="1645A"/>
    <s v="31CAR"/>
    <s v="Conventional"/>
    <n v="1064"/>
    <s v="Occupied"/>
    <s v="Resident 010"/>
    <s v="05/18/2019"/>
    <m/>
    <s v="07/15/2025"/>
    <s v="07/14/2026"/>
    <x v="0"/>
    <n v="4151"/>
    <n v="500"/>
    <n v="500"/>
    <n v="4630.24"/>
    <n v="4190"/>
    <n v="4190"/>
    <n v="0"/>
    <n v="0"/>
    <n v="0"/>
    <n v="0"/>
    <n v="0"/>
    <n v="4190"/>
  </r>
  <r>
    <s v="1645B"/>
    <s v="31CAR"/>
    <s v="Section 8"/>
    <n v="1064"/>
    <s v="Occupied"/>
    <s v="Resident 011"/>
    <s v="08/02/2023"/>
    <m/>
    <s v="08/02/2023"/>
    <s v="11/02/2024"/>
    <x v="6"/>
    <n v="4076"/>
    <n v="700"/>
    <n v="700"/>
    <n v="1873.68"/>
    <n v="3949"/>
    <n v="1575"/>
    <n v="0"/>
    <n v="65"/>
    <n v="2374"/>
    <n v="0"/>
    <n v="0"/>
    <n v="4014"/>
  </r>
  <r>
    <s v="1645C"/>
    <s v="21CBR"/>
    <s v="Conventional"/>
    <n v="1094"/>
    <s v="Occupied"/>
    <s v="Resident 012"/>
    <s v="02/15/2024"/>
    <m/>
    <s v="08/15/2025"/>
    <s v="03/14/2027"/>
    <x v="7"/>
    <n v="3881"/>
    <n v="500"/>
    <n v="500"/>
    <n v="0"/>
    <n v="3448"/>
    <n v="3448"/>
    <n v="75"/>
    <n v="0"/>
    <n v="0"/>
    <n v="0"/>
    <n v="0"/>
    <n v="3523"/>
  </r>
  <r>
    <s v="1645D"/>
    <s v="21CBR"/>
    <s v="Conventional"/>
    <n v="1094"/>
    <s v="Occupied"/>
    <s v="Resident 013"/>
    <s v="01/08/2020"/>
    <m/>
    <s v="04/04/2024"/>
    <s v="07/27/2025"/>
    <x v="8"/>
    <n v="3756"/>
    <n v="300"/>
    <n v="300"/>
    <n v="0"/>
    <n v="3630"/>
    <n v="3630"/>
    <n v="75"/>
    <n v="0"/>
    <n v="0"/>
    <n v="0"/>
    <n v="0"/>
    <n v="3705"/>
  </r>
  <r>
    <s v="1645E"/>
    <s v="31CBR"/>
    <s v="Conventional"/>
    <n v="1094"/>
    <s v="Occupied"/>
    <s v="Resident 014"/>
    <s v="03/18/2025"/>
    <m/>
    <s v="03/18/2025"/>
    <s v="03/17/2026"/>
    <x v="2"/>
    <n v="4399"/>
    <n v="500"/>
    <n v="500"/>
    <n v="4727.75"/>
    <n v="4220"/>
    <n v="4220"/>
    <n v="150"/>
    <n v="0"/>
    <n v="0"/>
    <n v="0"/>
    <n v="0"/>
    <n v="4370"/>
  </r>
  <r>
    <s v="1645F"/>
    <s v="31CBR"/>
    <s v="Conventional"/>
    <n v="1094"/>
    <s v="Occupied"/>
    <s v="Resident 015"/>
    <s v="04/15/2023"/>
    <m/>
    <s v="08/06/2025"/>
    <s v="09/05/2025"/>
    <x v="9"/>
    <n v="4274"/>
    <n v="500"/>
    <n v="500"/>
    <n v="0"/>
    <n v="4533"/>
    <n v="4533"/>
    <n v="0"/>
    <n v="0"/>
    <n v="0"/>
    <n v="0"/>
    <n v="0"/>
    <n v="4533"/>
  </r>
  <r>
    <s v="1645G"/>
    <s v="21CAR"/>
    <s v="Conventional"/>
    <n v="1054"/>
    <s v="Occupied"/>
    <s v="Resident 016"/>
    <s v="05/02/2024"/>
    <m/>
    <s v="06/02/2025"/>
    <s v="06/01/2026"/>
    <x v="10"/>
    <n v="3574"/>
    <n v="500"/>
    <n v="900"/>
    <n v="0"/>
    <n v="3414"/>
    <n v="3414"/>
    <n v="150"/>
    <n v="130"/>
    <n v="0"/>
    <n v="0"/>
    <n v="0"/>
    <n v="3694"/>
  </r>
  <r>
    <s v="1645H"/>
    <s v="21CAR"/>
    <s v="Conventional"/>
    <n v="1054"/>
    <s v="Occupied"/>
    <s v="Resident 017"/>
    <s v="08/01/2020"/>
    <m/>
    <s v="12/22/2024"/>
    <s v="12/20/2025"/>
    <x v="11"/>
    <n v="3624"/>
    <n v="500"/>
    <n v="500"/>
    <n v="0"/>
    <n v="3430"/>
    <n v="3430"/>
    <n v="0"/>
    <n v="65"/>
    <n v="0"/>
    <n v="0"/>
    <n v="0"/>
    <n v="3495"/>
  </r>
  <r>
    <s v="1655A"/>
    <s v="31CAR"/>
    <s v="Section 8"/>
    <n v="1064"/>
    <s v="Occupied"/>
    <s v="Resident 018"/>
    <s v="02/16/2024"/>
    <m/>
    <s v="02/16/2024"/>
    <s v="02/15/2025"/>
    <x v="12"/>
    <n v="4001"/>
    <n v="500"/>
    <n v="500"/>
    <n v="3859.84"/>
    <n v="3561"/>
    <n v="212"/>
    <n v="0"/>
    <n v="0"/>
    <n v="3349"/>
    <n v="0"/>
    <n v="0"/>
    <n v="3561"/>
  </r>
  <r>
    <s v="1655B"/>
    <s v="31CAR"/>
    <s v="Conventional"/>
    <n v="1064"/>
    <s v="Occupied"/>
    <s v="Resident 019"/>
    <s v="06/23/2024"/>
    <m/>
    <s v="05/23/2025"/>
    <s v="05/22/2026"/>
    <x v="3"/>
    <n v="4051"/>
    <n v="500"/>
    <n v="700"/>
    <n v="4822.41"/>
    <n v="4252"/>
    <n v="4252"/>
    <n v="150"/>
    <n v="65"/>
    <n v="0"/>
    <n v="0"/>
    <n v="0"/>
    <n v="4467"/>
  </r>
  <r>
    <s v="1655C"/>
    <s v="21CBR"/>
    <s v="Employee Housing"/>
    <n v="1094"/>
    <s v="Occupied"/>
    <s v="Resident 020"/>
    <s v="12/01/2019"/>
    <m/>
    <s v="12/01/2019"/>
    <s v="05/31/2021"/>
    <x v="13"/>
    <n v="3856"/>
    <n v="0"/>
    <n v="0"/>
    <n v="0"/>
    <n v="3553"/>
    <n v="3553"/>
    <n v="150"/>
    <n v="0"/>
    <n v="0"/>
    <n v="0"/>
    <n v="-3553"/>
    <n v="150"/>
  </r>
  <r>
    <s v="1655D"/>
    <s v="21CBR"/>
    <s v="Conventional"/>
    <n v="1094"/>
    <s v="Occupied"/>
    <s v="Resident 021"/>
    <s v="02/14/2019"/>
    <m/>
    <s v="05/11/2025"/>
    <s v="05/10/2026"/>
    <x v="3"/>
    <n v="3731"/>
    <n v="900"/>
    <n v="900"/>
    <n v="4172.75"/>
    <n v="3610"/>
    <n v="3610"/>
    <n v="75"/>
    <n v="130"/>
    <n v="0"/>
    <n v="0"/>
    <n v="0"/>
    <n v="3815"/>
  </r>
  <r>
    <s v="1655E"/>
    <s v="31CBR"/>
    <s v="Conventional"/>
    <n v="1094"/>
    <s v="Occupied"/>
    <s v="Resident 022"/>
    <s v="01/20/2025"/>
    <m/>
    <s v="01/20/2025"/>
    <s v="01/19/2026"/>
    <x v="4"/>
    <n v="4374"/>
    <n v="2465.5"/>
    <n v="2665.5"/>
    <n v="4635.3100000000004"/>
    <n v="3931"/>
    <n v="3931"/>
    <n v="225"/>
    <n v="65"/>
    <n v="0"/>
    <n v="0"/>
    <n v="0"/>
    <n v="4221"/>
  </r>
  <r>
    <s v="1655F"/>
    <s v="31CBR"/>
    <s v="Section 8"/>
    <n v="1094"/>
    <s v="Occupied"/>
    <s v="Resident 023"/>
    <s v="04/27/2024"/>
    <m/>
    <s v="05/27/2025"/>
    <s v="05/26/2026"/>
    <x v="3"/>
    <n v="4374"/>
    <n v="500"/>
    <n v="500"/>
    <n v="4059.86"/>
    <n v="4124"/>
    <n v="1375"/>
    <n v="75"/>
    <n v="0"/>
    <n v="2749"/>
    <n v="0"/>
    <n v="0"/>
    <n v="4199"/>
  </r>
  <r>
    <s v="1655G"/>
    <s v="21CAR"/>
    <s v="Conventional"/>
    <n v="1054"/>
    <s v="Occupied"/>
    <s v="Resident 024"/>
    <s v="09/30/2023"/>
    <m/>
    <s v="03/27/2025"/>
    <s v="08/26/2026"/>
    <x v="14"/>
    <n v="3724"/>
    <n v="500"/>
    <n v="500"/>
    <n v="0"/>
    <n v="3435"/>
    <n v="3435"/>
    <n v="75"/>
    <n v="0"/>
    <n v="0"/>
    <n v="0"/>
    <n v="0"/>
    <n v="3510"/>
  </r>
  <r>
    <s v="1655H"/>
    <s v="21CAR"/>
    <s v="Conventional"/>
    <n v="1054"/>
    <s v="Occupied-NTV"/>
    <s v="Resident 025"/>
    <s v="05/21/2024"/>
    <s v="10/03/2025"/>
    <s v="03/21/2025"/>
    <s v="05/18/2025"/>
    <x v="15"/>
    <n v="3599"/>
    <n v="500"/>
    <n v="500"/>
    <n v="0"/>
    <n v="3978"/>
    <n v="3978"/>
    <n v="0"/>
    <n v="0"/>
    <n v="0"/>
    <n v="0"/>
    <n v="0"/>
    <n v="3978"/>
  </r>
  <r>
    <s v="1656A"/>
    <s v="31CBR"/>
    <s v="Conventional"/>
    <n v="1094"/>
    <s v="Occupied"/>
    <s v="Resident 026"/>
    <s v="04/27/2023"/>
    <m/>
    <s v="07/18/2025"/>
    <s v="07/17/2026"/>
    <x v="0"/>
    <n v="4374"/>
    <n v="500"/>
    <n v="900"/>
    <n v="0"/>
    <n v="4241"/>
    <n v="4241"/>
    <n v="0"/>
    <n v="65"/>
    <n v="0"/>
    <n v="0"/>
    <n v="0"/>
    <n v="4306"/>
  </r>
  <r>
    <s v="1656B"/>
    <s v="31CBR"/>
    <s v="Conventional"/>
    <n v="1094"/>
    <s v="Occupied"/>
    <s v="Resident 027"/>
    <s v="07/16/2025"/>
    <m/>
    <s v="07/16/2025"/>
    <s v="07/15/2026"/>
    <x v="0"/>
    <n v="4249"/>
    <n v="700"/>
    <n v="700"/>
    <n v="0"/>
    <n v="4355"/>
    <n v="4355"/>
    <n v="75"/>
    <n v="65"/>
    <n v="0"/>
    <n v="0"/>
    <n v="0"/>
    <n v="4495"/>
  </r>
  <r>
    <s v="1664A"/>
    <s v="21CBR"/>
    <s v="Conventional"/>
    <n v="1094"/>
    <s v="Occupied"/>
    <s v="Resident 028"/>
    <s v="09/16/2024"/>
    <m/>
    <s v="09/16/2024"/>
    <s v="10/15/2025"/>
    <x v="16"/>
    <n v="3856"/>
    <n v="500"/>
    <n v="500"/>
    <n v="4143.1899999999996"/>
    <n v="3872"/>
    <n v="3872"/>
    <n v="0"/>
    <n v="0"/>
    <n v="0"/>
    <n v="0"/>
    <n v="0"/>
    <n v="3872"/>
  </r>
  <r>
    <s v="1664A"/>
    <s v="21CBR"/>
    <s v="Conventional"/>
    <n v="1094"/>
    <s v="Pending renewal"/>
    <s v="Resident 028"/>
    <s v="09/16/2024"/>
    <m/>
    <s v="10/16/2025"/>
    <s v="10/15/2026"/>
    <x v="17"/>
    <n v="0"/>
    <n v="500"/>
    <n v="0"/>
    <n v="0"/>
    <n v="3872"/>
    <n v="3872"/>
    <n v="0"/>
    <n v="0"/>
    <n v="0"/>
    <n v="0"/>
    <n v="0"/>
    <n v="3872"/>
  </r>
  <r>
    <s v="1664B"/>
    <s v="21CBR"/>
    <s v="Conventional"/>
    <n v="1094"/>
    <s v="Occupied"/>
    <s v="Resident 029"/>
    <s v="12/28/2023"/>
    <m/>
    <s v="06/28/2025"/>
    <s v="06/27/2026"/>
    <x v="10"/>
    <n v="3881"/>
    <n v="500"/>
    <n v="1100"/>
    <n v="0"/>
    <n v="3682"/>
    <n v="3682"/>
    <n v="0"/>
    <n v="195"/>
    <n v="0"/>
    <n v="0"/>
    <n v="0"/>
    <n v="3877"/>
  </r>
  <r>
    <s v="1664C"/>
    <s v="31CBR"/>
    <s v="Conventional"/>
    <n v="1094"/>
    <s v="Occupied"/>
    <s v="Resident 030"/>
    <s v="08/01/2025"/>
    <m/>
    <s v="08/01/2025"/>
    <s v="08/31/2026"/>
    <x v="14"/>
    <n v="4374"/>
    <n v="500"/>
    <n v="500"/>
    <n v="4904.47"/>
    <n v="4425"/>
    <n v="4425"/>
    <n v="150"/>
    <n v="0"/>
    <n v="0"/>
    <n v="0"/>
    <n v="0"/>
    <n v="4575"/>
  </r>
  <r>
    <s v="1664D"/>
    <s v="31CBR"/>
    <s v="Conventional"/>
    <n v="1094"/>
    <s v="Vacant"/>
    <s v="Vacant"/>
    <m/>
    <m/>
    <m/>
    <m/>
    <x v="5"/>
    <n v="4249"/>
    <n v="0"/>
    <n v="0"/>
    <n v="0"/>
    <n v="0"/>
    <n v="0"/>
    <n v="0"/>
    <n v="0"/>
    <n v="0"/>
    <n v="0"/>
    <n v="0"/>
    <n v="0"/>
  </r>
  <r>
    <s v="1664E"/>
    <s v="31CBR"/>
    <s v="Conventional"/>
    <n v="1094"/>
    <s v="Occupied"/>
    <s v="Resident 031"/>
    <s v="01/17/2019"/>
    <m/>
    <s v="03/01/2025"/>
    <s v="07/31/2026"/>
    <x v="0"/>
    <n v="4374"/>
    <n v="99"/>
    <n v="299"/>
    <n v="4569.51"/>
    <n v="3774"/>
    <n v="3774"/>
    <n v="75"/>
    <n v="65"/>
    <n v="0"/>
    <n v="0"/>
    <n v="0"/>
    <n v="3914"/>
  </r>
  <r>
    <s v="1664F"/>
    <s v="31CBR"/>
    <s v="Conventional"/>
    <n v="1094"/>
    <s v="Occupied"/>
    <s v="Resident 032"/>
    <s v="06/05/2019"/>
    <m/>
    <s v="06/22/2025"/>
    <s v="06/21/2026"/>
    <x v="10"/>
    <n v="4374"/>
    <n v="2663"/>
    <n v="2663"/>
    <n v="0"/>
    <n v="4326"/>
    <n v="4326"/>
    <n v="75"/>
    <n v="65"/>
    <n v="0"/>
    <n v="60"/>
    <n v="0"/>
    <n v="4526"/>
  </r>
  <r>
    <s v="1664G"/>
    <s v="21CAR"/>
    <s v="Conventional"/>
    <n v="1054"/>
    <s v="Occupied"/>
    <s v="Resident 033"/>
    <s v="05/20/2025"/>
    <m/>
    <s v="05/20/2025"/>
    <s v="05/19/2026"/>
    <x v="3"/>
    <n v="3784"/>
    <n v="500"/>
    <n v="700"/>
    <n v="0"/>
    <n v="3770"/>
    <n v="3770"/>
    <n v="0"/>
    <n v="65"/>
    <n v="0"/>
    <n v="0"/>
    <n v="0"/>
    <n v="3835"/>
  </r>
  <r>
    <s v="1664H"/>
    <s v="21CAR"/>
    <s v="Conventional"/>
    <n v="1054"/>
    <s v="Occupied"/>
    <s v="Resident 034"/>
    <s v="07/26/2022"/>
    <m/>
    <s v="07/19/2025"/>
    <s v="07/18/2026"/>
    <x v="0"/>
    <n v="3599"/>
    <n v="700"/>
    <n v="700"/>
    <n v="0"/>
    <n v="3629"/>
    <n v="3629"/>
    <n v="75"/>
    <n v="65"/>
    <n v="0"/>
    <n v="0"/>
    <n v="0"/>
    <n v="3769"/>
  </r>
  <r>
    <s v="1674A"/>
    <s v="31CAR"/>
    <s v="Conventional"/>
    <n v="1064"/>
    <s v="Occupied"/>
    <s v="Resident 035"/>
    <s v="05/15/2025"/>
    <m/>
    <s v="05/15/2025"/>
    <s v="05/14/2026"/>
    <x v="3"/>
    <n v="4151"/>
    <n v="2516"/>
    <n v="2516"/>
    <n v="2773.76"/>
    <n v="4032"/>
    <n v="4032"/>
    <n v="0"/>
    <n v="0"/>
    <n v="0"/>
    <n v="0"/>
    <n v="0"/>
    <n v="4032"/>
  </r>
  <r>
    <s v="1674B"/>
    <s v="31CAR"/>
    <s v="Conventional"/>
    <n v="1064"/>
    <s v="Occupied"/>
    <s v="Resident 036"/>
    <s v="01/24/2025"/>
    <m/>
    <s v="01/24/2025"/>
    <s v="01/23/2026"/>
    <x v="4"/>
    <n v="4076"/>
    <n v="500"/>
    <n v="500"/>
    <n v="4217.33"/>
    <n v="3806"/>
    <n v="3806"/>
    <n v="0"/>
    <n v="0"/>
    <n v="0"/>
    <n v="0"/>
    <n v="0"/>
    <n v="3806"/>
  </r>
  <r>
    <s v="1674C"/>
    <s v="31CBR"/>
    <s v="Conventional"/>
    <n v="1094"/>
    <s v="Occupied"/>
    <s v="Resident 037"/>
    <s v="01/24/2021"/>
    <m/>
    <s v="08/23/2025"/>
    <s v="08/22/2026"/>
    <x v="14"/>
    <n v="4274"/>
    <n v="300"/>
    <n v="300"/>
    <n v="0"/>
    <n v="4094"/>
    <n v="4094"/>
    <n v="75"/>
    <n v="0"/>
    <n v="0"/>
    <n v="0"/>
    <n v="0"/>
    <n v="4169"/>
  </r>
  <r>
    <s v="1674D"/>
    <s v="31CBR"/>
    <s v="Conventional"/>
    <n v="1094"/>
    <s v="Occupied"/>
    <s v="Resident 038"/>
    <s v="10/24/2020"/>
    <m/>
    <s v="08/01/2023"/>
    <s v="08/31/2023"/>
    <x v="18"/>
    <n v="4399"/>
    <n v="300"/>
    <n v="500"/>
    <n v="0"/>
    <n v="4007"/>
    <n v="4007"/>
    <n v="375"/>
    <n v="0"/>
    <n v="0"/>
    <n v="0"/>
    <n v="0"/>
    <n v="4382"/>
  </r>
  <r>
    <s v="1674E"/>
    <s v="21CAR"/>
    <s v="Conventional"/>
    <n v="1054"/>
    <s v="Occupied"/>
    <s v="Resident 039"/>
    <s v="05/31/2022"/>
    <m/>
    <s v="05/31/2024"/>
    <s v="06/06/2025"/>
    <x v="19"/>
    <n v="3609"/>
    <n v="500"/>
    <n v="500"/>
    <n v="10049.18"/>
    <n v="3775"/>
    <n v="3775"/>
    <n v="75"/>
    <n v="0"/>
    <n v="0"/>
    <n v="0"/>
    <n v="0"/>
    <n v="3850"/>
  </r>
  <r>
    <s v="1674F"/>
    <s v="21CAR"/>
    <s v="Conventional"/>
    <n v="1054"/>
    <s v="Occupied"/>
    <s v="Resident 040"/>
    <s v="12/28/2021"/>
    <m/>
    <s v="07/28/2024"/>
    <s v="11/27/2025"/>
    <x v="20"/>
    <n v="3684"/>
    <n v="500"/>
    <n v="500"/>
    <n v="0"/>
    <n v="3678"/>
    <n v="3678"/>
    <n v="0"/>
    <n v="0"/>
    <n v="0"/>
    <n v="0"/>
    <n v="0"/>
    <n v="3678"/>
  </r>
  <r>
    <s v="1684A"/>
    <s v="21CBR"/>
    <s v="Conventional"/>
    <n v="1094"/>
    <s v="Occupied"/>
    <s v="Resident 041"/>
    <s v="05/11/2025"/>
    <m/>
    <s v="05/11/2025"/>
    <s v="05/10/2026"/>
    <x v="3"/>
    <n v="3781"/>
    <n v="500"/>
    <n v="500"/>
    <n v="0"/>
    <n v="3895"/>
    <n v="3895"/>
    <n v="0"/>
    <n v="0"/>
    <n v="0"/>
    <n v="0"/>
    <n v="0"/>
    <n v="3895"/>
  </r>
  <r>
    <s v="1684B"/>
    <s v="21CBR"/>
    <s v="Conventional"/>
    <n v="1094"/>
    <s v="Occupied"/>
    <s v="Resident 042"/>
    <s v="09/22/2025"/>
    <m/>
    <s v="09/22/2025"/>
    <s v="09/19/2026"/>
    <x v="21"/>
    <n v="3781"/>
    <n v="500"/>
    <n v="700"/>
    <n v="0"/>
    <n v="3875"/>
    <n v="3875"/>
    <n v="75"/>
    <n v="65"/>
    <n v="0"/>
    <n v="0"/>
    <n v="0"/>
    <n v="4015"/>
  </r>
  <r>
    <s v="1684C"/>
    <s v="31CBR"/>
    <s v="Conventional"/>
    <n v="1094"/>
    <s v="Occupied"/>
    <s v="Resident 043"/>
    <s v="05/09/2025"/>
    <m/>
    <s v="05/09/2025"/>
    <s v="05/08/2026"/>
    <x v="3"/>
    <n v="4399"/>
    <n v="500"/>
    <n v="700"/>
    <n v="0"/>
    <n v="4272"/>
    <n v="4272"/>
    <n v="75"/>
    <n v="65"/>
    <n v="0"/>
    <n v="60"/>
    <n v="0"/>
    <n v="4472"/>
  </r>
  <r>
    <s v="1684D"/>
    <s v="31CBR"/>
    <s v="Conventional"/>
    <n v="1094"/>
    <s v="Occupied"/>
    <s v="Resident 044"/>
    <s v="07/01/2025"/>
    <m/>
    <s v="07/01/2025"/>
    <s v="06/30/2026"/>
    <x v="10"/>
    <n v="4274"/>
    <n v="500"/>
    <n v="500"/>
    <n v="0"/>
    <n v="4484"/>
    <n v="4484"/>
    <n v="75"/>
    <n v="0"/>
    <n v="0"/>
    <n v="0"/>
    <n v="0"/>
    <n v="4559"/>
  </r>
  <r>
    <s v="1684E"/>
    <s v="31CBR"/>
    <s v="Conventional"/>
    <n v="1094"/>
    <s v="Occupied"/>
    <s v="Resident 045"/>
    <s v="07/31/2020"/>
    <m/>
    <s v="04/21/2025"/>
    <s v="06/20/2026"/>
    <x v="10"/>
    <n v="4274"/>
    <n v="300"/>
    <n v="300"/>
    <n v="4468.92"/>
    <n v="4121"/>
    <n v="4121"/>
    <n v="75"/>
    <n v="0"/>
    <n v="0"/>
    <n v="0"/>
    <n v="0"/>
    <n v="4196"/>
  </r>
  <r>
    <s v="1684F"/>
    <s v="31CBR"/>
    <s v="Conventional"/>
    <n v="1094"/>
    <s v="Occupied"/>
    <s v="Resident 046"/>
    <s v="03/13/2025"/>
    <m/>
    <s v="03/13/2025"/>
    <s v="03/10/2026"/>
    <x v="2"/>
    <n v="4324"/>
    <n v="500"/>
    <n v="500"/>
    <n v="0"/>
    <n v="4255"/>
    <n v="4255"/>
    <n v="0"/>
    <n v="0"/>
    <n v="0"/>
    <n v="0"/>
    <n v="0"/>
    <n v="4255"/>
  </r>
  <r>
    <s v="1684G"/>
    <s v="11CAR"/>
    <s v="Conventional"/>
    <n v="650"/>
    <s v="Occupied"/>
    <s v="Resident 047"/>
    <s v="08/08/2025"/>
    <m/>
    <s v="08/08/2025"/>
    <s v="06/07/2026"/>
    <x v="10"/>
    <n v="3297"/>
    <n v="500"/>
    <n v="700"/>
    <n v="3658.28"/>
    <n v="3386"/>
    <n v="3386"/>
    <n v="0"/>
    <n v="65"/>
    <n v="0"/>
    <n v="0"/>
    <n v="0"/>
    <n v="3451"/>
  </r>
  <r>
    <s v="1684H"/>
    <s v="11CAR"/>
    <s v="Conventional"/>
    <n v="650"/>
    <s v="Occupied"/>
    <s v="Resident 048"/>
    <s v="01/24/2025"/>
    <m/>
    <s v="01/24/2025"/>
    <s v="01/23/2026"/>
    <x v="4"/>
    <n v="3322"/>
    <n v="500"/>
    <n v="700"/>
    <n v="0"/>
    <n v="3041"/>
    <n v="3041"/>
    <n v="0"/>
    <n v="65"/>
    <n v="0"/>
    <n v="0"/>
    <n v="0"/>
    <n v="3106"/>
  </r>
  <r>
    <s v="1687A"/>
    <s v="31CBR"/>
    <s v="Conventional"/>
    <n v="1094"/>
    <s v="Occupied"/>
    <s v="Resident 049"/>
    <s v="06/05/2021"/>
    <m/>
    <s v="06/05/2021"/>
    <s v="05/04/2022"/>
    <x v="22"/>
    <n v="4249"/>
    <n v="3996"/>
    <n v="3996"/>
    <n v="5125.55"/>
    <n v="3926"/>
    <n v="3926"/>
    <n v="75"/>
    <n v="0"/>
    <n v="0"/>
    <n v="0"/>
    <n v="0"/>
    <n v="4001"/>
  </r>
  <r>
    <s v="1687B"/>
    <s v="31CBR"/>
    <s v="Conventional"/>
    <n v="1094"/>
    <s v="Occupied"/>
    <s v="Resident 050"/>
    <s v="02/01/2022"/>
    <m/>
    <s v="08/25/2025"/>
    <s v="08/17/2026"/>
    <x v="14"/>
    <n v="4374"/>
    <n v="500"/>
    <n v="500"/>
    <n v="4525.47"/>
    <n v="4121"/>
    <n v="4121"/>
    <n v="75"/>
    <n v="0"/>
    <n v="0"/>
    <n v="0"/>
    <n v="0"/>
    <n v="4196"/>
  </r>
  <r>
    <s v="1687C"/>
    <s v="21CBR"/>
    <s v="Conventional"/>
    <n v="1094"/>
    <s v="Occupied"/>
    <s v="Resident 051"/>
    <s v="11/01/2023"/>
    <m/>
    <s v="04/29/2025"/>
    <s v="09/28/2026"/>
    <x v="21"/>
    <n v="3781"/>
    <n v="500"/>
    <n v="900"/>
    <n v="0"/>
    <n v="3411"/>
    <n v="3411"/>
    <n v="0"/>
    <n v="130"/>
    <n v="0"/>
    <n v="0"/>
    <n v="0"/>
    <n v="3541"/>
  </r>
  <r>
    <s v="1687D"/>
    <s v="21CBR"/>
    <s v="Conventional"/>
    <n v="1094"/>
    <s v="Occupied"/>
    <s v="Resident 052"/>
    <s v="08/01/2022"/>
    <m/>
    <s v="09/06/2025"/>
    <s v="09/12/2026"/>
    <x v="21"/>
    <n v="3731"/>
    <n v="500"/>
    <n v="700"/>
    <n v="0"/>
    <n v="3865"/>
    <n v="3865"/>
    <n v="75"/>
    <n v="65"/>
    <n v="0"/>
    <n v="0"/>
    <n v="0"/>
    <n v="4005"/>
  </r>
  <r>
    <s v="1687E"/>
    <s v="31CBR"/>
    <s v="Conventional"/>
    <n v="1094"/>
    <s v="Vacant"/>
    <s v="Vacant"/>
    <m/>
    <m/>
    <m/>
    <m/>
    <x v="5"/>
    <n v="4374"/>
    <n v="0"/>
    <n v="0"/>
    <n v="0"/>
    <n v="0"/>
    <n v="0"/>
    <n v="0"/>
    <n v="0"/>
    <n v="0"/>
    <n v="0"/>
    <n v="0"/>
    <n v="0"/>
  </r>
  <r>
    <s v="1687F"/>
    <s v="31CBR"/>
    <s v="Conventional"/>
    <n v="1094"/>
    <s v="Occupied"/>
    <s v="Resident 053"/>
    <s v="08/14/2025"/>
    <m/>
    <s v="08/14/2025"/>
    <s v="09/13/2026"/>
    <x v="21"/>
    <n v="4374"/>
    <n v="500"/>
    <n v="500"/>
    <n v="0"/>
    <n v="4458"/>
    <n v="4458"/>
    <n v="0"/>
    <n v="65"/>
    <n v="0"/>
    <n v="0"/>
    <n v="0"/>
    <n v="4523"/>
  </r>
  <r>
    <s v="1687G"/>
    <s v="11CAR"/>
    <s v="Conventional"/>
    <n v="650"/>
    <s v="Occupied"/>
    <s v="Resident 054"/>
    <s v="11/01/2022"/>
    <m/>
    <s v="04/30/2025"/>
    <s v="04/29/2026"/>
    <x v="1"/>
    <n v="3207"/>
    <n v="500"/>
    <n v="500"/>
    <n v="3532.42"/>
    <n v="3116"/>
    <n v="3116"/>
    <n v="150"/>
    <n v="0"/>
    <n v="0"/>
    <n v="0"/>
    <n v="0"/>
    <n v="3266"/>
  </r>
  <r>
    <s v="1687H"/>
    <s v="11CAR"/>
    <s v="Conventional"/>
    <n v="650"/>
    <s v="Occupied"/>
    <s v="Resident 055"/>
    <s v="05/10/2025"/>
    <m/>
    <s v="05/10/2025"/>
    <s v="05/09/2026"/>
    <x v="3"/>
    <n v="3297"/>
    <n v="500"/>
    <n v="500"/>
    <n v="0"/>
    <n v="3158"/>
    <n v="3158"/>
    <n v="0"/>
    <n v="0"/>
    <n v="0"/>
    <n v="0"/>
    <n v="0"/>
    <n v="3158"/>
  </r>
  <r>
    <s v="1693A"/>
    <s v="11CAR"/>
    <s v="Conventional"/>
    <n v="650"/>
    <s v="Occupied"/>
    <s v="Resident 056"/>
    <s v="03/01/2024"/>
    <m/>
    <s v="02/01/2025"/>
    <s v="01/31/2026"/>
    <x v="4"/>
    <n v="3057"/>
    <n v="500"/>
    <n v="700"/>
    <n v="2991.14"/>
    <n v="2688"/>
    <n v="2688"/>
    <n v="0"/>
    <n v="65"/>
    <n v="0"/>
    <n v="0"/>
    <n v="0"/>
    <n v="2753"/>
  </r>
  <r>
    <s v="1693B"/>
    <s v="11CAR"/>
    <s v="Conventional"/>
    <n v="650"/>
    <s v="Occupied"/>
    <s v="Resident 057"/>
    <s v="06/17/2024"/>
    <m/>
    <s v="06/17/2024"/>
    <s v="08/16/2025"/>
    <x v="23"/>
    <n v="3082"/>
    <n v="500"/>
    <n v="500"/>
    <n v="-72.58"/>
    <n v="3032"/>
    <n v="3032"/>
    <n v="0"/>
    <n v="0"/>
    <n v="0"/>
    <n v="0"/>
    <n v="0"/>
    <n v="3032"/>
  </r>
  <r>
    <s v="1694A"/>
    <s v="11CAR"/>
    <s v="Conventional"/>
    <n v="650"/>
    <s v="Occupied"/>
    <s v="Resident 058"/>
    <s v="02/03/2021"/>
    <m/>
    <s v="02/05/2025"/>
    <s v="02/04/2026"/>
    <x v="24"/>
    <n v="3232"/>
    <n v="300"/>
    <n v="300"/>
    <n v="0"/>
    <n v="2819"/>
    <n v="2819"/>
    <n v="0"/>
    <n v="0"/>
    <n v="0"/>
    <n v="0"/>
    <n v="0"/>
    <n v="2819"/>
  </r>
  <r>
    <s v="1694B"/>
    <s v="11CAR"/>
    <s v="Conventional"/>
    <n v="650"/>
    <s v="Occupied-NTV"/>
    <s v="Resident 059"/>
    <s v="02/15/2025"/>
    <s v="11/16/2025"/>
    <s v="02/15/2025"/>
    <s v="06/14/2025"/>
    <x v="19"/>
    <n v="3207"/>
    <n v="500"/>
    <n v="500"/>
    <n v="4500.16"/>
    <n v="3901"/>
    <n v="3901"/>
    <n v="75"/>
    <n v="0"/>
    <n v="0"/>
    <n v="0"/>
    <n v="0"/>
    <n v="3976"/>
  </r>
  <r>
    <s v="1699A"/>
    <s v="31CBR"/>
    <s v="Conventional"/>
    <n v="1094"/>
    <s v="Occupied"/>
    <s v="Resident 060"/>
    <s v="06/15/2021"/>
    <m/>
    <s v="05/08/2025"/>
    <s v="05/08/2026"/>
    <x v="3"/>
    <n v="4424"/>
    <n v="500"/>
    <n v="700"/>
    <n v="5177.03"/>
    <n v="4501"/>
    <n v="4501"/>
    <n v="225"/>
    <n v="65"/>
    <n v="0"/>
    <n v="0"/>
    <n v="0"/>
    <n v="4791"/>
  </r>
  <r>
    <s v="1699B"/>
    <s v="31CBR"/>
    <s v="Conventional"/>
    <n v="1094"/>
    <s v="Occupied"/>
    <s v="Resident 061"/>
    <s v="10/31/2023"/>
    <m/>
    <s v="10/31/2023"/>
    <s v="04/29/2025"/>
    <x v="25"/>
    <n v="4299"/>
    <n v="500"/>
    <n v="500"/>
    <n v="4672.3100000000004"/>
    <n v="4033"/>
    <n v="4033"/>
    <n v="225"/>
    <n v="0"/>
    <n v="0"/>
    <n v="0"/>
    <n v="0"/>
    <n v="4258"/>
  </r>
  <r>
    <s v="1700A"/>
    <s v="31CBR"/>
    <s v="Conventional"/>
    <n v="1094"/>
    <s v="Occupied"/>
    <s v="Resident 062"/>
    <s v="12/18/2024"/>
    <m/>
    <s v="12/18/2024"/>
    <s v="12/16/2025"/>
    <x v="11"/>
    <n v="4424"/>
    <n v="2513"/>
    <n v="2513"/>
    <n v="4630.16"/>
    <n v="4026"/>
    <n v="4026"/>
    <n v="225"/>
    <n v="0"/>
    <n v="0"/>
    <n v="0"/>
    <n v="0"/>
    <n v="4251"/>
  </r>
  <r>
    <s v="1700B"/>
    <s v="31CBR"/>
    <s v="Conventional"/>
    <n v="1094"/>
    <s v="Occupied"/>
    <s v="Resident 063"/>
    <s v="01/18/2024"/>
    <m/>
    <s v="01/18/2025"/>
    <s v="01/17/2026"/>
    <x v="4"/>
    <n v="4424"/>
    <n v="500"/>
    <n v="500"/>
    <n v="0"/>
    <n v="3978"/>
    <n v="3978"/>
    <n v="0"/>
    <n v="0"/>
    <n v="0"/>
    <n v="0"/>
    <n v="0"/>
    <n v="3978"/>
  </r>
  <r>
    <s v="1705A"/>
    <s v="21CBR"/>
    <s v="Conventional"/>
    <n v="1094"/>
    <s v="Occupied"/>
    <s v="Resident 064"/>
    <s v="11/28/2020"/>
    <m/>
    <s v="04/24/2025"/>
    <s v="04/23/2026"/>
    <x v="1"/>
    <n v="3906"/>
    <n v="300"/>
    <n v="300"/>
    <n v="-3992.84"/>
    <n v="3530"/>
    <n v="3530"/>
    <n v="75"/>
    <n v="0"/>
    <n v="0"/>
    <n v="0"/>
    <n v="0"/>
    <n v="3605"/>
  </r>
  <r>
    <s v="1705B"/>
    <s v="21CBR"/>
    <s v="Conventional"/>
    <n v="1094"/>
    <s v="Occupied"/>
    <s v="Resident 065"/>
    <s v="06/13/2025"/>
    <m/>
    <s v="06/13/2025"/>
    <s v="06/12/2026"/>
    <x v="10"/>
    <n v="3856"/>
    <n v="500"/>
    <n v="700"/>
    <n v="0"/>
    <n v="3940"/>
    <n v="3940"/>
    <n v="0"/>
    <n v="65"/>
    <n v="0"/>
    <n v="0"/>
    <n v="0"/>
    <n v="4005"/>
  </r>
  <r>
    <s v="1706A"/>
    <s v="21CBR"/>
    <s v="Conventional"/>
    <n v="1094"/>
    <s v="Occupied"/>
    <s v="Resident 066"/>
    <s v="04/12/2025"/>
    <m/>
    <s v="04/12/2025"/>
    <s v="04/11/2026"/>
    <x v="1"/>
    <n v="3856"/>
    <n v="900"/>
    <n v="1100"/>
    <n v="0"/>
    <n v="3753"/>
    <n v="3753"/>
    <n v="0"/>
    <n v="65"/>
    <n v="0"/>
    <n v="0"/>
    <n v="0"/>
    <n v="3818"/>
  </r>
  <r>
    <s v="1706B"/>
    <s v="21CBR"/>
    <s v="Conventional"/>
    <n v="1094"/>
    <s v="Occupied"/>
    <s v="Resident 067"/>
    <s v="06/13/2025"/>
    <m/>
    <s v="06/13/2025"/>
    <s v="06/12/2026"/>
    <x v="10"/>
    <n v="3731"/>
    <n v="500"/>
    <n v="700"/>
    <n v="4204.47"/>
    <n v="3875"/>
    <n v="3875"/>
    <n v="0"/>
    <n v="0"/>
    <n v="0"/>
    <n v="0"/>
    <n v="0"/>
    <n v="3875"/>
  </r>
  <r>
    <s v="1714A"/>
    <s v="31CBR"/>
    <s v="Conventional"/>
    <n v="1094"/>
    <s v="Vacant"/>
    <s v="Vacant"/>
    <m/>
    <m/>
    <m/>
    <m/>
    <x v="5"/>
    <n v="4374"/>
    <n v="0"/>
    <n v="0"/>
    <n v="0"/>
    <n v="0"/>
    <n v="0"/>
    <n v="0"/>
    <n v="0"/>
    <n v="0"/>
    <n v="0"/>
    <n v="0"/>
    <n v="0"/>
  </r>
  <r>
    <s v="1714B"/>
    <s v="31CBR"/>
    <s v="Conventional"/>
    <n v="1094"/>
    <s v="Occupied"/>
    <s v="Resident 068"/>
    <s v="03/23/2013"/>
    <m/>
    <s v="03/07/2023"/>
    <s v="03/06/2024"/>
    <x v="26"/>
    <n v="4249"/>
    <n v="700"/>
    <n v="700"/>
    <n v="4310.25"/>
    <n v="4040"/>
    <n v="4040"/>
    <n v="0"/>
    <n v="0"/>
    <n v="0"/>
    <n v="0"/>
    <n v="0"/>
    <n v="4040"/>
  </r>
  <r>
    <s v="1714C"/>
    <s v="31CBR"/>
    <s v="Section 8"/>
    <n v="1094"/>
    <s v="Occupied"/>
    <s v="Resident 069"/>
    <s v="01/28/2025"/>
    <m/>
    <s v="01/28/2025"/>
    <s v="01/27/2026"/>
    <x v="4"/>
    <n v="4374"/>
    <n v="500"/>
    <n v="500"/>
    <n v="1755.4"/>
    <n v="4233"/>
    <n v="4233"/>
    <n v="0"/>
    <n v="0"/>
    <n v="0"/>
    <n v="0"/>
    <n v="0"/>
    <n v="4233"/>
  </r>
  <r>
    <s v="1714D"/>
    <s v="21CAR"/>
    <s v="Conventional"/>
    <n v="1054"/>
    <s v="Occupied"/>
    <s v="Resident 070"/>
    <s v="09/01/2025"/>
    <m/>
    <s v="09/01/2025"/>
    <s v="08/31/2026"/>
    <x v="14"/>
    <n v="3609"/>
    <n v="500"/>
    <n v="500"/>
    <n v="0"/>
    <n v="3557"/>
    <n v="3557"/>
    <n v="0"/>
    <n v="0"/>
    <n v="0"/>
    <n v="0"/>
    <n v="0"/>
    <n v="3557"/>
  </r>
  <r>
    <s v="1714E"/>
    <s v="21CAR"/>
    <s v="Conventional"/>
    <n v="1054"/>
    <s v="Occupied"/>
    <s v="Resident 071"/>
    <s v="12/18/2024"/>
    <m/>
    <s v="12/18/2024"/>
    <s v="12/17/2025"/>
    <x v="11"/>
    <n v="3699"/>
    <n v="500"/>
    <n v="500"/>
    <n v="3928.78"/>
    <n v="3584"/>
    <n v="3584"/>
    <n v="75"/>
    <n v="0"/>
    <n v="0"/>
    <n v="0"/>
    <n v="0"/>
    <n v="3659"/>
  </r>
  <r>
    <s v="1715A"/>
    <s v="31CBR"/>
    <s v="Conventional"/>
    <n v="1094"/>
    <s v="Occupied"/>
    <s v="Resident 072"/>
    <s v="06/22/2024"/>
    <m/>
    <s v="05/22/2025"/>
    <s v="05/21/2026"/>
    <x v="3"/>
    <n v="4249"/>
    <n v="500"/>
    <n v="700"/>
    <n v="5102.75"/>
    <n v="4305"/>
    <n v="4305"/>
    <n v="375"/>
    <n v="65"/>
    <n v="0"/>
    <n v="0"/>
    <n v="0"/>
    <n v="4745"/>
  </r>
  <r>
    <s v="1715B"/>
    <s v="31CBR"/>
    <s v="Conventional"/>
    <n v="1094"/>
    <s v="Occupied"/>
    <s v="Resident 073"/>
    <s v="01/23/2024"/>
    <m/>
    <s v="01/23/2024"/>
    <s v="07/22/2025"/>
    <x v="8"/>
    <n v="4374"/>
    <n v="4184"/>
    <n v="4184"/>
    <n v="7058.36"/>
    <n v="4008"/>
    <n v="4008"/>
    <n v="75"/>
    <n v="0"/>
    <n v="0"/>
    <n v="0"/>
    <n v="0"/>
    <n v="4083"/>
  </r>
  <r>
    <s v="1715C"/>
    <s v="31CBR"/>
    <s v="Conventional"/>
    <n v="1094"/>
    <s v="Occupied"/>
    <s v="Resident 074"/>
    <s v="02/13/2015"/>
    <m/>
    <s v="04/18/2025"/>
    <s v="04/17/2026"/>
    <x v="1"/>
    <n v="4374"/>
    <n v="700"/>
    <n v="1400"/>
    <n v="4551.47"/>
    <n v="4072"/>
    <n v="4072"/>
    <n v="150"/>
    <n v="0"/>
    <n v="0"/>
    <n v="0"/>
    <n v="0"/>
    <n v="4222"/>
  </r>
  <r>
    <s v="1715D"/>
    <s v="21CAR"/>
    <s v="Conventional"/>
    <n v="1054"/>
    <s v="Occupied"/>
    <s v="Resident 075"/>
    <s v="01/23/2023"/>
    <m/>
    <s v="07/23/2025"/>
    <s v="09/22/2026"/>
    <x v="21"/>
    <n v="3709"/>
    <n v="500"/>
    <n v="500"/>
    <n v="4000.34"/>
    <n v="3449"/>
    <n v="3449"/>
    <n v="225"/>
    <n v="0"/>
    <n v="0"/>
    <n v="0"/>
    <n v="0"/>
    <n v="3674"/>
  </r>
  <r>
    <s v="1715E"/>
    <s v="21CAR"/>
    <s v="Conventional"/>
    <n v="1054"/>
    <s v="Occupied"/>
    <s v="Resident 076"/>
    <s v="08/01/2022"/>
    <m/>
    <s v="11/30/2024"/>
    <s v="11/22/2025"/>
    <x v="20"/>
    <n v="3599"/>
    <n v="500"/>
    <n v="500"/>
    <n v="0"/>
    <n v="3722"/>
    <n v="3722"/>
    <n v="0"/>
    <n v="0"/>
    <n v="0"/>
    <n v="0"/>
    <n v="0"/>
    <n v="3722"/>
  </r>
  <r>
    <s v="1720A"/>
    <s v="31CBR"/>
    <s v="Conventional"/>
    <n v="1094"/>
    <s v="Vacant-Leased"/>
    <s v="Vacant"/>
    <m/>
    <m/>
    <m/>
    <m/>
    <x v="5"/>
    <n v="4449"/>
    <n v="0"/>
    <n v="0"/>
    <n v="0"/>
    <n v="0"/>
    <n v="0"/>
    <n v="0"/>
    <n v="0"/>
    <n v="0"/>
    <n v="0"/>
    <n v="0"/>
    <n v="0"/>
  </r>
  <r>
    <s v="1720A"/>
    <s v="31CBR"/>
    <s v="Conventional"/>
    <n v="1094"/>
    <s v="Applicant"/>
    <s v="Resident 077"/>
    <s v="10/15/2025"/>
    <m/>
    <s v="10/15/2025"/>
    <s v="03/14/2027"/>
    <x v="7"/>
    <n v="0"/>
    <n v="500"/>
    <n v="500"/>
    <n v="0"/>
    <n v="4449"/>
    <n v="4449"/>
    <n v="0"/>
    <n v="0"/>
    <n v="0"/>
    <n v="0"/>
    <n v="0"/>
    <n v="4449"/>
  </r>
  <r>
    <s v="1720B"/>
    <s v="31CBR"/>
    <s v="Conventional"/>
    <n v="1094"/>
    <s v="Occupied"/>
    <s v="Resident 078"/>
    <s v="05/15/2022"/>
    <m/>
    <s v="05/08/2025"/>
    <s v="05/07/2026"/>
    <x v="3"/>
    <n v="4324"/>
    <n v="700"/>
    <n v="700"/>
    <n v="4686.03"/>
    <n v="4185"/>
    <n v="4185"/>
    <n v="0"/>
    <n v="65"/>
    <n v="0"/>
    <n v="0"/>
    <n v="0"/>
    <n v="4250"/>
  </r>
  <r>
    <s v="1720C"/>
    <s v="31CBR"/>
    <s v="Conventional"/>
    <n v="1094"/>
    <s v="Occupied-NTV"/>
    <s v="Resident 079"/>
    <s v="05/27/2023"/>
    <s v="10/23/2025"/>
    <s v="08/25/2025"/>
    <s v="09/24/2025"/>
    <x v="9"/>
    <n v="4324"/>
    <n v="500"/>
    <n v="500"/>
    <n v="0"/>
    <n v="4542"/>
    <n v="4542"/>
    <n v="75"/>
    <n v="0"/>
    <n v="0"/>
    <n v="0"/>
    <n v="0"/>
    <n v="4617"/>
  </r>
  <r>
    <s v="1720D"/>
    <s v="31CBR"/>
    <s v="Conventional"/>
    <n v="1094"/>
    <s v="Occupied"/>
    <s v="Resident 080"/>
    <s v="03/15/2011"/>
    <m/>
    <s v="08/27/2025"/>
    <s v="08/19/2026"/>
    <x v="14"/>
    <n v="4324"/>
    <n v="900"/>
    <n v="1400"/>
    <n v="4755.5600000000004"/>
    <n v="4355"/>
    <n v="4355"/>
    <n v="75"/>
    <n v="65"/>
    <n v="0"/>
    <n v="0"/>
    <n v="0"/>
    <n v="4495"/>
  </r>
  <r>
    <s v="1720E"/>
    <s v="21CAR"/>
    <s v="Conventional"/>
    <n v="1054"/>
    <s v="Occupied"/>
    <s v="Resident 081"/>
    <s v="02/27/2021"/>
    <m/>
    <s v="05/28/2025"/>
    <s v="05/27/2026"/>
    <x v="3"/>
    <n v="3849"/>
    <n v="300"/>
    <n v="300"/>
    <n v="0"/>
    <n v="3612"/>
    <n v="3612"/>
    <n v="0"/>
    <n v="0"/>
    <n v="0"/>
    <n v="0"/>
    <n v="0"/>
    <n v="3612"/>
  </r>
  <r>
    <s v="1720F"/>
    <s v="21CAR"/>
    <s v="Conventional"/>
    <n v="1054"/>
    <s v="Occupied"/>
    <s v="Resident 082"/>
    <s v="06/27/2025"/>
    <m/>
    <s v="06/27/2025"/>
    <s v="06/26/2026"/>
    <x v="10"/>
    <n v="3724"/>
    <n v="900"/>
    <n v="900"/>
    <n v="4311.34"/>
    <n v="3780"/>
    <n v="3780"/>
    <n v="75"/>
    <n v="130"/>
    <n v="0"/>
    <n v="0"/>
    <n v="0"/>
    <n v="3985"/>
  </r>
  <r>
    <s v="1721A"/>
    <s v="31CBR"/>
    <s v="Conventional"/>
    <n v="1094"/>
    <s v="Occupied"/>
    <s v="Resident 083"/>
    <s v="08/11/2025"/>
    <m/>
    <s v="08/11/2025"/>
    <s v="08/10/2026"/>
    <x v="14"/>
    <n v="4324"/>
    <n v="500"/>
    <n v="500"/>
    <n v="0"/>
    <n v="4317"/>
    <n v="4317"/>
    <n v="75"/>
    <n v="0"/>
    <n v="0"/>
    <n v="0"/>
    <n v="0"/>
    <n v="4392"/>
  </r>
  <r>
    <s v="1721B"/>
    <s v="31CBR"/>
    <s v="Conventional"/>
    <n v="1094"/>
    <s v="Occupied"/>
    <s v="Resident 084"/>
    <s v="06/08/2024"/>
    <m/>
    <s v="07/08/2025"/>
    <s v="07/07/2026"/>
    <x v="0"/>
    <n v="4324"/>
    <n v="500"/>
    <n v="500"/>
    <n v="0"/>
    <n v="4371"/>
    <n v="4371"/>
    <n v="0"/>
    <n v="0"/>
    <n v="0"/>
    <n v="0"/>
    <n v="0"/>
    <n v="4371"/>
  </r>
  <r>
    <s v="1721C"/>
    <s v="31CBR"/>
    <s v="Conventional"/>
    <n v="1094"/>
    <s v="Occupied"/>
    <s v="Resident 085"/>
    <s v="03/11/2021"/>
    <m/>
    <s v="03/11/2021"/>
    <s v="06/10/2022"/>
    <x v="27"/>
    <n v="4324"/>
    <n v="300"/>
    <n v="300"/>
    <n v="4442.3900000000003"/>
    <n v="3998"/>
    <n v="3998"/>
    <n v="150"/>
    <n v="0"/>
    <n v="0"/>
    <n v="0"/>
    <n v="0"/>
    <n v="4148"/>
  </r>
  <r>
    <s v="1721D"/>
    <s v="31CBR"/>
    <s v="Conventional"/>
    <n v="1094"/>
    <s v="Occupied"/>
    <s v="Resident 086"/>
    <s v="11/20/2024"/>
    <m/>
    <s v="11/20/2024"/>
    <s v="03/19/2026"/>
    <x v="2"/>
    <n v="4449"/>
    <n v="2552.5"/>
    <n v="2552.5"/>
    <n v="0"/>
    <n v="4105"/>
    <n v="4105"/>
    <n v="0"/>
    <n v="0"/>
    <n v="0"/>
    <n v="0"/>
    <n v="0"/>
    <n v="4105"/>
  </r>
  <r>
    <s v="1721E"/>
    <s v="21CAR"/>
    <s v="Conventional"/>
    <n v="1054"/>
    <s v="Occupied"/>
    <s v="Resident 087"/>
    <s v="06/13/2023"/>
    <m/>
    <s v="09/13/2024"/>
    <s v="12/12/2025"/>
    <x v="11"/>
    <n v="3749"/>
    <n v="700"/>
    <n v="700"/>
    <n v="0"/>
    <n v="3579"/>
    <n v="3579"/>
    <n v="75"/>
    <n v="65"/>
    <n v="0"/>
    <n v="0"/>
    <n v="0"/>
    <n v="3719"/>
  </r>
  <r>
    <s v="1721F"/>
    <s v="21CAR"/>
    <s v="Section 8"/>
    <n v="1054"/>
    <s v="Occupied"/>
    <s v="Resident 088"/>
    <s v="09/15/2020"/>
    <m/>
    <s v="12/12/2021"/>
    <s v="10/31/2022"/>
    <x v="28"/>
    <n v="3624"/>
    <n v="300"/>
    <n v="300"/>
    <n v="3353.14"/>
    <n v="3275"/>
    <n v="1289"/>
    <n v="0"/>
    <n v="0"/>
    <n v="1986"/>
    <n v="0"/>
    <n v="0"/>
    <n v="3275"/>
  </r>
  <r>
    <s v="1731A"/>
    <s v="21CBR"/>
    <s v="Conventional"/>
    <n v="1094"/>
    <s v="Occupied"/>
    <s v="Resident 089"/>
    <s v="05/18/2024"/>
    <m/>
    <s v="06/18/2025"/>
    <s v="06/17/2026"/>
    <x v="10"/>
    <n v="3906"/>
    <n v="4388"/>
    <n v="4388"/>
    <n v="0"/>
    <n v="3888"/>
    <n v="3888"/>
    <n v="0"/>
    <n v="0"/>
    <n v="0"/>
    <n v="0"/>
    <n v="0"/>
    <n v="3888"/>
  </r>
  <r>
    <s v="1731B"/>
    <s v="21CBR"/>
    <s v="Conventional"/>
    <n v="1094"/>
    <s v="Occupied"/>
    <s v="Resident 090"/>
    <s v="03/08/2025"/>
    <m/>
    <s v="03/08/2025"/>
    <s v="03/07/2026"/>
    <x v="2"/>
    <n v="3931"/>
    <n v="500"/>
    <n v="500"/>
    <n v="3031.47"/>
    <n v="3702"/>
    <n v="3702"/>
    <n v="0"/>
    <n v="0"/>
    <n v="0"/>
    <n v="0"/>
    <n v="0"/>
    <n v="3702"/>
  </r>
  <r>
    <s v="1732A"/>
    <s v="21CBR"/>
    <s v="Conventional"/>
    <n v="1094"/>
    <s v="Occupied"/>
    <s v="Resident 091"/>
    <s v="07/04/2025"/>
    <m/>
    <s v="07/04/2025"/>
    <s v="07/03/2026"/>
    <x v="0"/>
    <n v="3906"/>
    <n v="500"/>
    <n v="500"/>
    <n v="0"/>
    <n v="4012"/>
    <n v="4012"/>
    <n v="0"/>
    <n v="0"/>
    <n v="0"/>
    <n v="0"/>
    <n v="0"/>
    <n v="4012"/>
  </r>
  <r>
    <s v="1732B"/>
    <s v="21CBR"/>
    <s v="Conventional"/>
    <n v="1094"/>
    <s v="Occupied"/>
    <s v="Resident 092"/>
    <s v="05/16/2019"/>
    <m/>
    <s v="06/18/2025"/>
    <s v="06/17/2026"/>
    <x v="10"/>
    <n v="3881"/>
    <n v="300"/>
    <n v="300"/>
    <n v="0"/>
    <n v="3743"/>
    <n v="3743"/>
    <n v="0"/>
    <n v="0"/>
    <n v="0"/>
    <n v="0"/>
    <n v="0"/>
    <n v="3743"/>
  </r>
  <r>
    <s v="1739A"/>
    <s v="31CBR"/>
    <s v="Conventional"/>
    <n v="1094"/>
    <s v="Occupied"/>
    <s v="Resident 093"/>
    <s v="01/06/2023"/>
    <m/>
    <s v="07/05/2025"/>
    <s v="09/04/2026"/>
    <x v="21"/>
    <n v="4449"/>
    <n v="2715"/>
    <n v="2715"/>
    <n v="0"/>
    <n v="4271"/>
    <n v="4271"/>
    <n v="75"/>
    <n v="65"/>
    <n v="0"/>
    <n v="0"/>
    <n v="0"/>
    <n v="4411"/>
  </r>
  <r>
    <s v="1739B"/>
    <s v="31CBR"/>
    <s v="Conventional"/>
    <n v="1094"/>
    <s v="Occupied"/>
    <s v="Resident 094"/>
    <s v="05/07/2025"/>
    <m/>
    <s v="05/07/2025"/>
    <s v="05/07/2026"/>
    <x v="3"/>
    <n v="4489"/>
    <n v="500"/>
    <n v="700"/>
    <n v="0"/>
    <n v="4433"/>
    <n v="4433"/>
    <n v="75"/>
    <n v="65"/>
    <n v="0"/>
    <n v="0"/>
    <n v="0"/>
    <n v="4573"/>
  </r>
  <r>
    <s v="1740A"/>
    <s v="31CBR"/>
    <s v="Conventional"/>
    <n v="1094"/>
    <s v="Occupied"/>
    <s v="Resident 095"/>
    <s v="07/17/2020"/>
    <m/>
    <s v="10/17/2021"/>
    <s v="10/17/2022"/>
    <x v="28"/>
    <n v="4324"/>
    <n v="99"/>
    <n v="99"/>
    <n v="4804.83"/>
    <n v="4492"/>
    <n v="4492"/>
    <n v="75"/>
    <n v="0"/>
    <n v="0"/>
    <n v="0"/>
    <n v="0"/>
    <n v="4567"/>
  </r>
  <r>
    <s v="1740B"/>
    <s v="31CBR"/>
    <s v="Conventional"/>
    <n v="1094"/>
    <s v="Occupied"/>
    <s v="Resident 096"/>
    <s v="09/15/2023"/>
    <m/>
    <s v="09/15/2025"/>
    <s v="10/14/2025"/>
    <x v="16"/>
    <n v="4489"/>
    <n v="500"/>
    <n v="500"/>
    <n v="0"/>
    <n v="4664"/>
    <n v="4664"/>
    <n v="0"/>
    <n v="0"/>
    <n v="0"/>
    <n v="0"/>
    <n v="0"/>
    <n v="46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D45FA6-B1CD-44C1-921E-EE4752892317}" name="PivotTable2" cacheId="0" dataOnRows="1" applyNumberFormats="0" applyBorderFormats="0" applyFontFormats="0" applyPatternFormats="0" applyAlignmentFormats="0" applyWidthHeightFormats="1" dataCaption="Data" updatedVersion="8" showMemberPropertyTips="0" useAutoFormatting="1" itemPrintTitles="1" createdVersion="1" indent="0" compact="0" compactData="0" gridDropZones="1">
  <location ref="K109:L121" firstHeaderRow="2" firstDataRow="2" firstDataCol="1"/>
  <pivotFields count="23"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numFmtId="16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 sortType="ascending">
      <items count="30">
        <item h="1" x="25"/>
        <item x="1"/>
        <item h="1" x="18"/>
        <item h="1" x="23"/>
        <item x="14"/>
        <item h="1" x="11"/>
        <item h="1" x="12"/>
        <item x="24"/>
        <item h="1" x="5"/>
        <item x="4"/>
        <item h="1" x="8"/>
        <item x="0"/>
        <item h="1" x="27"/>
        <item h="1" x="19"/>
        <item x="10"/>
        <item h="1" x="26"/>
        <item x="2"/>
        <item h="1" x="7"/>
        <item h="1" x="13"/>
        <item h="1" x="22"/>
        <item h="1" x="15"/>
        <item x="3"/>
        <item h="1" x="6"/>
        <item h="1" x="20"/>
        <item h="1" x="28"/>
        <item h="1" x="16"/>
        <item x="17"/>
        <item h="1" x="9"/>
        <item x="21"/>
        <item t="default"/>
      </items>
    </pivotField>
    <pivotField compact="0" numFmtId="164" outline="0" showAll="0" includeNewItemsInFilter="1"/>
    <pivotField compact="0" numFmtId="164" outline="0" showAll="0" includeNewItemsInFilter="1"/>
    <pivotField compact="0" numFmtId="164" outline="0" showAll="0" includeNewItemsInFilter="1"/>
    <pivotField compact="0" numFmtId="164" outline="0" showAll="0" includeNewItemsInFilter="1"/>
    <pivotField compact="0" numFmtId="164" outline="0" showAll="0" includeNewItemsInFilter="1"/>
    <pivotField compact="0" numFmtId="164" outline="0" showAll="0" includeNewItemsInFilter="1"/>
    <pivotField compact="0" numFmtId="164" outline="0" showAll="0" includeNewItemsInFilter="1"/>
    <pivotField compact="0" numFmtId="164" outline="0" showAll="0" includeNewItemsInFilter="1"/>
    <pivotField compact="0" numFmtId="164" outline="0" showAll="0" includeNewItemsInFilter="1"/>
    <pivotField compact="0" numFmtId="164" outline="0" showAll="0" includeNewItemsInFilter="1"/>
    <pivotField compact="0" numFmtId="164" outline="0" showAll="0" includeNewItemsInFilter="1"/>
    <pivotField compact="0" numFmtId="164" outline="0" showAll="0" includeNewItemsInFilter="1"/>
  </pivotFields>
  <rowFields count="1">
    <field x="10"/>
  </rowFields>
  <rowItems count="11">
    <i>
      <x v="1"/>
    </i>
    <i>
      <x v="4"/>
    </i>
    <i>
      <x v="7"/>
    </i>
    <i>
      <x v="9"/>
    </i>
    <i>
      <x v="11"/>
    </i>
    <i>
      <x v="14"/>
    </i>
    <i>
      <x v="16"/>
    </i>
    <i>
      <x v="21"/>
    </i>
    <i>
      <x v="26"/>
    </i>
    <i>
      <x v="28"/>
    </i>
    <i t="grand">
      <x/>
    </i>
  </rowItems>
  <colItems count="1">
    <i/>
  </colItems>
  <dataFields count="1">
    <dataField name="Count of Unit" fld="0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ns1="http://schemas.openxmlformats.org/markup-compatibility/2006" xmlns:ns2="http://schemas.microsoft.com/office/spreadsheetml/2014/revision" xmlns:ns3="http://schemas.microsoft.com/office/spreadsheetml/2009/9/ac" xmlns:ns4="http://schemas.openxmlformats.org/officeDocument/2006/relationships" ns1:Ignorable="x14ac xr xr2 xr3" ns2:uid="{8556454F-6E2F-443A-B48A-E1238AE0AB2A}">
  <sheetPr>
    <outlinePr summaryBelow="0" summaryRight="0"/>
  </sheetPr>
  <dimension ref="A1:W125"/>
  <sheetViews>
    <sheetView showGridLines="0" workbookViewId="0">
      <pane xSplit="2" ySplit="1" topLeftCell="H95" activePane="bottomRight" state="frozen"/>
      <selection pane="topRight" activeCell="E1" sqref="E1"/>
      <selection pane="bottomLeft" activeCell="A7" sqref="A7"/>
      <selection pane="bottomRight" activeCell="M133" sqref="M133"/>
    </sheetView>
  </sheetViews>
  <sheetFormatPr defaultRowHeight="12.75" ns3:dyDescent="0.2"/>
  <cols>
    <col min="1" max="1" width="13.7109375" customWidth="1"/>
    <col min="2" max="3" width="20.5703125" customWidth="1"/>
    <col min="4" max="4" width="13.7109375" customWidth="1"/>
    <col min="5" max="5" width="24" customWidth="1"/>
    <col min="6" max="6" width="34.28515625" customWidth="1"/>
    <col min="7" max="10" width="20.5703125" customWidth="1"/>
    <col min="11" max="11" width="18" bestFit="1" customWidth="1"/>
    <col min="12" max="12" width="7.42578125" bestFit="1" customWidth="1"/>
    <col min="13" max="13" width="23.42578125" bestFit="1" customWidth="1"/>
    <col min="14" max="23" width="20.5703125" customWidth="1"/>
  </cols>
  <sheetData>
    <row r="1" spans="1:23" ht="25.5" ns3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ns3:dyDescent="0.2">
      <c r="A2" s="3" t="s">
        <v>23</v>
      </c>
      <c r="B2" s="4" t="s">
        <v>24</v>
      </c>
      <c r="C2" s="4" t="s">
        <v>25</v>
      </c>
      <c r="D2" s="5">
        <v>650</v>
      </c>
      <c r="E2" s="3" t="s">
        <v>26</v>
      </c>
      <c r="F2" s="3" t="s">
        <v>27</v>
      </c>
      <c r="G2" s="4" t="s">
        <v>28</v>
      </c>
      <c r="H2" s="4"/>
      <c r="I2" s="4" t="s">
        <v>29</v>
      </c>
      <c r="J2" s="4" t="s">
        <v>30</v>
      </c>
      <c r="K2" s="4" t="str">
        <f>TEXT(J2,"mmm-yyyy")</f>
        <v>Jul-2026</v>
      </c>
      <c r="L2" s="6">
        <v>3132</v>
      </c>
      <c r="M2" s="6">
        <v>99</v>
      </c>
      <c r="N2" s="6">
        <v>449</v>
      </c>
      <c r="O2" s="6">
        <v>0</v>
      </c>
      <c r="P2" s="6">
        <v>3063</v>
      </c>
      <c r="Q2" s="6">
        <v>3063</v>
      </c>
      <c r="R2" s="6">
        <v>0</v>
      </c>
      <c r="S2" s="6">
        <v>0</v>
      </c>
      <c r="T2" s="6">
        <v>0</v>
      </c>
      <c r="U2" s="6">
        <v>60</v>
      </c>
      <c r="V2" s="6">
        <v>0</v>
      </c>
      <c r="W2" s="6">
        <v>3123</v>
      </c>
    </row>
    <row r="3" spans="1:23" ns3:dyDescent="0.2">
      <c r="A3" s="3" t="s">
        <v>31</v>
      </c>
      <c r="B3" s="4" t="s">
        <v>24</v>
      </c>
      <c r="C3" s="4" t="s">
        <v>25</v>
      </c>
      <c r="D3" s="5">
        <v>650</v>
      </c>
      <c r="E3" s="3" t="s">
        <v>26</v>
      </c>
      <c r="F3" s="3" t="s">
        <v>32</v>
      </c>
      <c r="G3" s="4" t="s">
        <v>33</v>
      </c>
      <c r="H3" s="4"/>
      <c r="I3" s="4" t="s">
        <v>34</v>
      </c>
      <c r="J3" s="4" t="s">
        <v>35</v>
      </c>
      <c r="K3" s="4" t="str">
        <f t="shared" ref="K3:K66" si="0">TEXT(J3,"mmm-yyyy")</f>
        <v>Apr-2026</v>
      </c>
      <c r="L3" s="6">
        <v>3157</v>
      </c>
      <c r="M3" s="6">
        <v>3342</v>
      </c>
      <c r="N3" s="6">
        <v>3342</v>
      </c>
      <c r="O3" s="6">
        <v>0</v>
      </c>
      <c r="P3" s="6">
        <v>2874</v>
      </c>
      <c r="Q3" s="6">
        <v>2874</v>
      </c>
      <c r="R3" s="6">
        <v>0</v>
      </c>
      <c r="S3" s="6">
        <v>65</v>
      </c>
      <c r="T3" s="6">
        <v>0</v>
      </c>
      <c r="U3" s="6">
        <v>0</v>
      </c>
      <c r="V3" s="6">
        <v>0</v>
      </c>
      <c r="W3" s="6">
        <v>2939</v>
      </c>
    </row>
    <row r="4" spans="1:23" ns3:dyDescent="0.2">
      <c r="A4" s="3" t="s">
        <v>36</v>
      </c>
      <c r="B4" s="4" t="s">
        <v>37</v>
      </c>
      <c r="C4" s="4" t="s">
        <v>38</v>
      </c>
      <c r="D4" s="5">
        <v>1094</v>
      </c>
      <c r="E4" s="3" t="s">
        <v>26</v>
      </c>
      <c r="F4" s="3" t="s">
        <v>39</v>
      </c>
      <c r="G4" s="4" t="s">
        <v>40</v>
      </c>
      <c r="H4" s="4"/>
      <c r="I4" s="4" t="s">
        <v>41</v>
      </c>
      <c r="J4" s="4" t="s">
        <v>42</v>
      </c>
      <c r="K4" s="4" t="str">
        <f t="shared" si="0"/>
        <v>Mar-2026</v>
      </c>
      <c r="L4" s="6">
        <v>4149</v>
      </c>
      <c r="M4" s="6">
        <v>500</v>
      </c>
      <c r="N4" s="6">
        <v>500</v>
      </c>
      <c r="O4" s="6">
        <v>4672.6000000000004</v>
      </c>
      <c r="P4" s="6">
        <v>3944</v>
      </c>
      <c r="Q4" s="6">
        <v>226</v>
      </c>
      <c r="R4" s="6">
        <v>0</v>
      </c>
      <c r="S4" s="6">
        <v>0</v>
      </c>
      <c r="T4" s="6">
        <v>3718</v>
      </c>
      <c r="U4" s="6">
        <v>0</v>
      </c>
      <c r="V4" s="6">
        <v>0</v>
      </c>
      <c r="W4" s="6">
        <v>3944</v>
      </c>
    </row>
    <row r="5" spans="1:23" ns3:dyDescent="0.2">
      <c r="A5" s="3" t="s">
        <v>43</v>
      </c>
      <c r="B5" s="4" t="s">
        <v>37</v>
      </c>
      <c r="C5" s="4" t="s">
        <v>25</v>
      </c>
      <c r="D5" s="5">
        <v>1094</v>
      </c>
      <c r="E5" s="3" t="s">
        <v>26</v>
      </c>
      <c r="F5" s="3" t="s">
        <v>44</v>
      </c>
      <c r="G5" s="4" t="s">
        <v>45</v>
      </c>
      <c r="H5" s="4"/>
      <c r="I5" s="4" t="s">
        <v>45</v>
      </c>
      <c r="J5" s="4" t="s">
        <v>46</v>
      </c>
      <c r="K5" s="4" t="str">
        <f t="shared" si="0"/>
        <v>May-2026</v>
      </c>
      <c r="L5" s="6">
        <v>4149</v>
      </c>
      <c r="M5" s="6">
        <v>500</v>
      </c>
      <c r="N5" s="6">
        <v>500</v>
      </c>
      <c r="O5" s="6">
        <v>4592.47</v>
      </c>
      <c r="P5" s="6">
        <v>4263</v>
      </c>
      <c r="Q5" s="6">
        <v>4263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4263</v>
      </c>
    </row>
    <row r="6" spans="1:23" ns3:dyDescent="0.2">
      <c r="A6" s="3" t="s">
        <v>47</v>
      </c>
      <c r="B6" s="4" t="s">
        <v>48</v>
      </c>
      <c r="C6" s="4" t="s">
        <v>25</v>
      </c>
      <c r="D6" s="5">
        <v>1094</v>
      </c>
      <c r="E6" s="3" t="s">
        <v>26</v>
      </c>
      <c r="F6" s="3" t="s">
        <v>49</v>
      </c>
      <c r="G6" s="4" t="s">
        <v>50</v>
      </c>
      <c r="H6" s="4"/>
      <c r="I6" s="4" t="s">
        <v>50</v>
      </c>
      <c r="J6" s="4" t="s">
        <v>51</v>
      </c>
      <c r="K6" s="4" t="str">
        <f t="shared" si="0"/>
        <v>Apr-2026</v>
      </c>
      <c r="L6" s="6">
        <v>3881</v>
      </c>
      <c r="M6" s="6">
        <v>500</v>
      </c>
      <c r="N6" s="6">
        <v>500</v>
      </c>
      <c r="O6" s="6">
        <v>0</v>
      </c>
      <c r="P6" s="6">
        <v>3777</v>
      </c>
      <c r="Q6" s="6">
        <v>3777</v>
      </c>
      <c r="R6" s="6">
        <v>75</v>
      </c>
      <c r="S6" s="6">
        <v>0</v>
      </c>
      <c r="T6" s="6">
        <v>0</v>
      </c>
      <c r="U6" s="6">
        <v>0</v>
      </c>
      <c r="V6" s="6">
        <v>0</v>
      </c>
      <c r="W6" s="6">
        <v>3852</v>
      </c>
    </row>
    <row r="7" spans="1:23" ns3:dyDescent="0.2">
      <c r="A7" s="3" t="s">
        <v>52</v>
      </c>
      <c r="B7" s="4" t="s">
        <v>48</v>
      </c>
      <c r="C7" s="4" t="s">
        <v>25</v>
      </c>
      <c r="D7" s="5">
        <v>1094</v>
      </c>
      <c r="E7" s="3" t="s">
        <v>26</v>
      </c>
      <c r="F7" s="3" t="s">
        <v>53</v>
      </c>
      <c r="G7" s="4" t="s">
        <v>54</v>
      </c>
      <c r="H7" s="4"/>
      <c r="I7" s="4" t="s">
        <v>54</v>
      </c>
      <c r="J7" s="4" t="s">
        <v>55</v>
      </c>
      <c r="K7" s="4" t="str">
        <f t="shared" si="0"/>
        <v>May-2026</v>
      </c>
      <c r="L7" s="6">
        <v>3881</v>
      </c>
      <c r="M7" s="6">
        <v>500</v>
      </c>
      <c r="N7" s="6">
        <v>500</v>
      </c>
      <c r="O7" s="6">
        <v>0</v>
      </c>
      <c r="P7" s="6">
        <v>3788</v>
      </c>
      <c r="Q7" s="6">
        <v>3788</v>
      </c>
      <c r="R7" s="6">
        <v>75</v>
      </c>
      <c r="S7" s="6">
        <v>0</v>
      </c>
      <c r="T7" s="6">
        <v>0</v>
      </c>
      <c r="U7" s="6">
        <v>0</v>
      </c>
      <c r="V7" s="6">
        <v>0</v>
      </c>
      <c r="W7" s="6">
        <v>3863</v>
      </c>
    </row>
    <row r="8" spans="1:23" ns3:dyDescent="0.2">
      <c r="A8" s="3" t="s">
        <v>56</v>
      </c>
      <c r="B8" s="4" t="s">
        <v>37</v>
      </c>
      <c r="C8" s="4" t="s">
        <v>25</v>
      </c>
      <c r="D8" s="5">
        <v>1094</v>
      </c>
      <c r="E8" s="3" t="s">
        <v>26</v>
      </c>
      <c r="F8" s="3" t="s">
        <v>57</v>
      </c>
      <c r="G8" s="4" t="s">
        <v>58</v>
      </c>
      <c r="H8" s="4"/>
      <c r="I8" s="4" t="s">
        <v>59</v>
      </c>
      <c r="J8" s="4" t="s">
        <v>60</v>
      </c>
      <c r="K8" s="4" t="str">
        <f t="shared" si="0"/>
        <v>Jan-2026</v>
      </c>
      <c r="L8" s="6">
        <v>4274</v>
      </c>
      <c r="M8" s="6">
        <v>500</v>
      </c>
      <c r="N8" s="6">
        <v>500</v>
      </c>
      <c r="O8" s="6">
        <v>4196.47</v>
      </c>
      <c r="P8" s="6">
        <v>3867</v>
      </c>
      <c r="Q8" s="6">
        <v>3867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3867</v>
      </c>
    </row>
    <row r="9" spans="1:23" ns3:dyDescent="0.2">
      <c r="A9" s="3" t="s">
        <v>61</v>
      </c>
      <c r="B9" s="4" t="s">
        <v>37</v>
      </c>
      <c r="C9" s="4" t="s">
        <v>25</v>
      </c>
      <c r="D9" s="5">
        <v>1094</v>
      </c>
      <c r="E9" s="3" t="s">
        <v>26</v>
      </c>
      <c r="F9" s="3" t="s">
        <v>62</v>
      </c>
      <c r="G9" s="4" t="s">
        <v>63</v>
      </c>
      <c r="H9" s="4"/>
      <c r="I9" s="4" t="s">
        <v>64</v>
      </c>
      <c r="J9" s="4" t="s">
        <v>65</v>
      </c>
      <c r="K9" s="4" t="str">
        <f t="shared" si="0"/>
        <v>Jul-2026</v>
      </c>
      <c r="L9" s="6">
        <v>4274</v>
      </c>
      <c r="M9" s="6">
        <v>500</v>
      </c>
      <c r="N9" s="6">
        <v>500</v>
      </c>
      <c r="O9" s="6">
        <v>4571.47</v>
      </c>
      <c r="P9" s="6">
        <v>4107</v>
      </c>
      <c r="Q9" s="6">
        <v>4107</v>
      </c>
      <c r="R9" s="6">
        <v>75</v>
      </c>
      <c r="S9" s="6">
        <v>0</v>
      </c>
      <c r="T9" s="6">
        <v>0</v>
      </c>
      <c r="U9" s="6">
        <v>60</v>
      </c>
      <c r="V9" s="6">
        <v>0</v>
      </c>
      <c r="W9" s="6">
        <v>4242</v>
      </c>
    </row>
    <row r="10" spans="1:23" ns3:dyDescent="0.2">
      <c r="A10" s="3" t="s">
        <v>66</v>
      </c>
      <c r="B10" s="4" t="s">
        <v>24</v>
      </c>
      <c r="C10" s="4" t="s">
        <v>25</v>
      </c>
      <c r="D10" s="5">
        <v>650</v>
      </c>
      <c r="E10" s="3" t="s">
        <v>67</v>
      </c>
      <c r="F10" s="3" t="s">
        <v>67</v>
      </c>
      <c r="G10" s="4"/>
      <c r="H10" s="4"/>
      <c r="I10" s="4"/>
      <c r="J10" s="4"/>
      <c r="K10" s="4" t="str">
        <f t="shared" si="0"/>
        <v>Jan-1900</v>
      </c>
      <c r="L10" s="6">
        <v>3262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</row>
    <row r="11" spans="1:23" ns3:dyDescent="0.2">
      <c r="A11" s="3" t="s">
        <v>68</v>
      </c>
      <c r="B11" s="4" t="s">
        <v>24</v>
      </c>
      <c r="C11" s="4" t="s">
        <v>38</v>
      </c>
      <c r="D11" s="5">
        <v>650</v>
      </c>
      <c r="E11" s="3" t="s">
        <v>26</v>
      </c>
      <c r="F11" s="3" t="s">
        <v>69</v>
      </c>
      <c r="G11" s="4" t="s">
        <v>70</v>
      </c>
      <c r="H11" s="4"/>
      <c r="I11" s="4" t="s">
        <v>71</v>
      </c>
      <c r="J11" s="4" t="s">
        <v>72</v>
      </c>
      <c r="K11" s="4" t="str">
        <f t="shared" si="0"/>
        <v>Mar-2026</v>
      </c>
      <c r="L11" s="6">
        <v>3147</v>
      </c>
      <c r="M11" s="6">
        <v>3323</v>
      </c>
      <c r="N11" s="6">
        <v>3323</v>
      </c>
      <c r="O11" s="6">
        <v>6140.14</v>
      </c>
      <c r="P11" s="6">
        <v>2853</v>
      </c>
      <c r="Q11" s="6">
        <v>926</v>
      </c>
      <c r="R11" s="6">
        <v>0</v>
      </c>
      <c r="S11" s="6">
        <v>195</v>
      </c>
      <c r="T11" s="6">
        <v>1927</v>
      </c>
      <c r="U11" s="6">
        <v>0</v>
      </c>
      <c r="V11" s="6">
        <v>0</v>
      </c>
      <c r="W11" s="6">
        <v>3048</v>
      </c>
    </row>
    <row r="12" spans="1:23" ns3:dyDescent="0.2">
      <c r="A12" s="3" t="s">
        <v>73</v>
      </c>
      <c r="B12" s="4" t="s">
        <v>74</v>
      </c>
      <c r="C12" s="4" t="s">
        <v>25</v>
      </c>
      <c r="D12" s="5">
        <v>1064</v>
      </c>
      <c r="E12" s="3" t="s">
        <v>26</v>
      </c>
      <c r="F12" s="3" t="s">
        <v>75</v>
      </c>
      <c r="G12" s="4" t="s">
        <v>76</v>
      </c>
      <c r="H12" s="4"/>
      <c r="I12" s="4" t="s">
        <v>77</v>
      </c>
      <c r="J12" s="4" t="s">
        <v>78</v>
      </c>
      <c r="K12" s="4" t="str">
        <f t="shared" si="0"/>
        <v>Jul-2026</v>
      </c>
      <c r="L12" s="6">
        <v>4151</v>
      </c>
      <c r="M12" s="6">
        <v>500</v>
      </c>
      <c r="N12" s="6">
        <v>500</v>
      </c>
      <c r="O12" s="6">
        <v>4630.24</v>
      </c>
      <c r="P12" s="6">
        <v>4190</v>
      </c>
      <c r="Q12" s="6">
        <v>4190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4190</v>
      </c>
    </row>
    <row r="13" spans="1:23" ns3:dyDescent="0.2">
      <c r="A13" s="3" t="s">
        <v>79</v>
      </c>
      <c r="B13" s="4" t="s">
        <v>74</v>
      </c>
      <c r="C13" s="4" t="s">
        <v>38</v>
      </c>
      <c r="D13" s="5">
        <v>1064</v>
      </c>
      <c r="E13" s="3" t="s">
        <v>26</v>
      </c>
      <c r="F13" s="3" t="s">
        <v>80</v>
      </c>
      <c r="G13" s="4" t="s">
        <v>81</v>
      </c>
      <c r="H13" s="4"/>
      <c r="I13" s="4" t="s">
        <v>81</v>
      </c>
      <c r="J13" s="4" t="s">
        <v>82</v>
      </c>
      <c r="K13" s="4" t="str">
        <f t="shared" si="0"/>
        <v>Nov-2024</v>
      </c>
      <c r="L13" s="6">
        <v>4076</v>
      </c>
      <c r="M13" s="6">
        <v>700</v>
      </c>
      <c r="N13" s="6">
        <v>700</v>
      </c>
      <c r="O13" s="6">
        <v>1873.68</v>
      </c>
      <c r="P13" s="6">
        <v>3949</v>
      </c>
      <c r="Q13" s="6">
        <v>1575</v>
      </c>
      <c r="R13" s="6">
        <v>0</v>
      </c>
      <c r="S13" s="6">
        <v>65</v>
      </c>
      <c r="T13" s="6">
        <v>2374</v>
      </c>
      <c r="U13" s="6">
        <v>0</v>
      </c>
      <c r="V13" s="6">
        <v>0</v>
      </c>
      <c r="W13" s="6">
        <v>4014</v>
      </c>
    </row>
    <row r="14" spans="1:23" ns3:dyDescent="0.2">
      <c r="A14" s="3" t="s">
        <v>83</v>
      </c>
      <c r="B14" s="4" t="s">
        <v>48</v>
      </c>
      <c r="C14" s="4" t="s">
        <v>25</v>
      </c>
      <c r="D14" s="5">
        <v>1094</v>
      </c>
      <c r="E14" s="3" t="s">
        <v>26</v>
      </c>
      <c r="F14" s="3" t="s">
        <v>84</v>
      </c>
      <c r="G14" s="4" t="s">
        <v>85</v>
      </c>
      <c r="H14" s="4"/>
      <c r="I14" s="4" t="s">
        <v>86</v>
      </c>
      <c r="J14" s="4" t="s">
        <v>87</v>
      </c>
      <c r="K14" s="4" t="str">
        <f t="shared" si="0"/>
        <v>Mar-2027</v>
      </c>
      <c r="L14" s="6">
        <v>3881</v>
      </c>
      <c r="M14" s="6">
        <v>500</v>
      </c>
      <c r="N14" s="6">
        <v>500</v>
      </c>
      <c r="O14" s="6">
        <v>0</v>
      </c>
      <c r="P14" s="6">
        <v>3448</v>
      </c>
      <c r="Q14" s="6">
        <v>3448</v>
      </c>
      <c r="R14" s="6">
        <v>75</v>
      </c>
      <c r="S14" s="6">
        <v>0</v>
      </c>
      <c r="T14" s="6">
        <v>0</v>
      </c>
      <c r="U14" s="6">
        <v>0</v>
      </c>
      <c r="V14" s="6">
        <v>0</v>
      </c>
      <c r="W14" s="6">
        <v>3523</v>
      </c>
    </row>
    <row r="15" spans="1:23" ns3:dyDescent="0.2">
      <c r="A15" s="3" t="s">
        <v>88</v>
      </c>
      <c r="B15" s="4" t="s">
        <v>48</v>
      </c>
      <c r="C15" s="4" t="s">
        <v>25</v>
      </c>
      <c r="D15" s="5">
        <v>1094</v>
      </c>
      <c r="E15" s="3" t="s">
        <v>26</v>
      </c>
      <c r="F15" s="3" t="s">
        <v>89</v>
      </c>
      <c r="G15" s="4" t="s">
        <v>90</v>
      </c>
      <c r="H15" s="4"/>
      <c r="I15" s="4" t="s">
        <v>91</v>
      </c>
      <c r="J15" s="4" t="s">
        <v>92</v>
      </c>
      <c r="K15" s="4" t="str">
        <f t="shared" si="0"/>
        <v>Jul-2025</v>
      </c>
      <c r="L15" s="6">
        <v>3756</v>
      </c>
      <c r="M15" s="6">
        <v>300</v>
      </c>
      <c r="N15" s="6">
        <v>300</v>
      </c>
      <c r="O15" s="6">
        <v>0</v>
      </c>
      <c r="P15" s="6">
        <v>3630</v>
      </c>
      <c r="Q15" s="6">
        <v>3630</v>
      </c>
      <c r="R15" s="6">
        <v>75</v>
      </c>
      <c r="S15" s="6">
        <v>0</v>
      </c>
      <c r="T15" s="6">
        <v>0</v>
      </c>
      <c r="U15" s="6">
        <v>0</v>
      </c>
      <c r="V15" s="6">
        <v>0</v>
      </c>
      <c r="W15" s="6">
        <v>3705</v>
      </c>
    </row>
    <row r="16" spans="1:23" ns3:dyDescent="0.2">
      <c r="A16" s="3" t="s">
        <v>93</v>
      </c>
      <c r="B16" s="4" t="s">
        <v>37</v>
      </c>
      <c r="C16" s="4" t="s">
        <v>25</v>
      </c>
      <c r="D16" s="5">
        <v>1094</v>
      </c>
      <c r="E16" s="3" t="s">
        <v>26</v>
      </c>
      <c r="F16" s="3" t="s">
        <v>94</v>
      </c>
      <c r="G16" s="4" t="s">
        <v>95</v>
      </c>
      <c r="H16" s="4"/>
      <c r="I16" s="4" t="s">
        <v>95</v>
      </c>
      <c r="J16" s="4" t="s">
        <v>96</v>
      </c>
      <c r="K16" s="4" t="str">
        <f t="shared" si="0"/>
        <v>Mar-2026</v>
      </c>
      <c r="L16" s="6">
        <v>4399</v>
      </c>
      <c r="M16" s="6">
        <v>500</v>
      </c>
      <c r="N16" s="6">
        <v>500</v>
      </c>
      <c r="O16" s="6">
        <v>4727.75</v>
      </c>
      <c r="P16" s="6">
        <v>4220</v>
      </c>
      <c r="Q16" s="6">
        <v>4220</v>
      </c>
      <c r="R16" s="6">
        <v>150</v>
      </c>
      <c r="S16" s="6">
        <v>0</v>
      </c>
      <c r="T16" s="6">
        <v>0</v>
      </c>
      <c r="U16" s="6">
        <v>0</v>
      </c>
      <c r="V16" s="6">
        <v>0</v>
      </c>
      <c r="W16" s="6">
        <v>4370</v>
      </c>
    </row>
    <row r="17" spans="1:23" ns3:dyDescent="0.2">
      <c r="A17" s="3" t="s">
        <v>97</v>
      </c>
      <c r="B17" s="4" t="s">
        <v>37</v>
      </c>
      <c r="C17" s="4" t="s">
        <v>25</v>
      </c>
      <c r="D17" s="5">
        <v>1094</v>
      </c>
      <c r="E17" s="3" t="s">
        <v>26</v>
      </c>
      <c r="F17" s="3" t="s">
        <v>98</v>
      </c>
      <c r="G17" s="4" t="s">
        <v>99</v>
      </c>
      <c r="H17" s="4"/>
      <c r="I17" s="4" t="s">
        <v>100</v>
      </c>
      <c r="J17" s="4" t="s">
        <v>101</v>
      </c>
      <c r="K17" s="4" t="str">
        <f t="shared" si="0"/>
        <v>Sep-2025</v>
      </c>
      <c r="L17" s="6">
        <v>4274</v>
      </c>
      <c r="M17" s="6">
        <v>500</v>
      </c>
      <c r="N17" s="6">
        <v>500</v>
      </c>
      <c r="O17" s="6">
        <v>0</v>
      </c>
      <c r="P17" s="6">
        <v>4533</v>
      </c>
      <c r="Q17" s="6">
        <v>4533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4533</v>
      </c>
    </row>
    <row r="18" spans="1:23" ns3:dyDescent="0.2">
      <c r="A18" s="3" t="s">
        <v>102</v>
      </c>
      <c r="B18" s="4" t="s">
        <v>103</v>
      </c>
      <c r="C18" s="4" t="s">
        <v>25</v>
      </c>
      <c r="D18" s="5">
        <v>1054</v>
      </c>
      <c r="E18" s="3" t="s">
        <v>26</v>
      </c>
      <c r="F18" s="3" t="s">
        <v>104</v>
      </c>
      <c r="G18" s="4" t="s">
        <v>105</v>
      </c>
      <c r="H18" s="4"/>
      <c r="I18" s="4" t="s">
        <v>106</v>
      </c>
      <c r="J18" s="4" t="s">
        <v>107</v>
      </c>
      <c r="K18" s="4" t="str">
        <f t="shared" si="0"/>
        <v>Jun-2026</v>
      </c>
      <c r="L18" s="6">
        <v>3574</v>
      </c>
      <c r="M18" s="6">
        <v>500</v>
      </c>
      <c r="N18" s="6">
        <v>900</v>
      </c>
      <c r="O18" s="6">
        <v>0</v>
      </c>
      <c r="P18" s="6">
        <v>3414</v>
      </c>
      <c r="Q18" s="6">
        <v>3414</v>
      </c>
      <c r="R18" s="6">
        <v>150</v>
      </c>
      <c r="S18" s="6">
        <v>130</v>
      </c>
      <c r="T18" s="6">
        <v>0</v>
      </c>
      <c r="U18" s="6">
        <v>0</v>
      </c>
      <c r="V18" s="6">
        <v>0</v>
      </c>
      <c r="W18" s="6">
        <v>3694</v>
      </c>
    </row>
    <row r="19" spans="1:23" ns3:dyDescent="0.2">
      <c r="A19" s="3" t="s">
        <v>108</v>
      </c>
      <c r="B19" s="4" t="s">
        <v>103</v>
      </c>
      <c r="C19" s="4" t="s">
        <v>25</v>
      </c>
      <c r="D19" s="5">
        <v>1054</v>
      </c>
      <c r="E19" s="3" t="s">
        <v>26</v>
      </c>
      <c r="F19" s="3" t="s">
        <v>109</v>
      </c>
      <c r="G19" s="4" t="s">
        <v>110</v>
      </c>
      <c r="H19" s="4"/>
      <c r="I19" s="4" t="s">
        <v>111</v>
      </c>
      <c r="J19" s="4" t="s">
        <v>112</v>
      </c>
      <c r="K19" s="4" t="str">
        <f t="shared" si="0"/>
        <v>Dec-2025</v>
      </c>
      <c r="L19" s="6">
        <v>3624</v>
      </c>
      <c r="M19" s="6">
        <v>500</v>
      </c>
      <c r="N19" s="6">
        <v>500</v>
      </c>
      <c r="O19" s="6">
        <v>0</v>
      </c>
      <c r="P19" s="6">
        <v>3430</v>
      </c>
      <c r="Q19" s="6">
        <v>3430</v>
      </c>
      <c r="R19" s="6">
        <v>0</v>
      </c>
      <c r="S19" s="6">
        <v>65</v>
      </c>
      <c r="T19" s="6">
        <v>0</v>
      </c>
      <c r="U19" s="6">
        <v>0</v>
      </c>
      <c r="V19" s="6">
        <v>0</v>
      </c>
      <c r="W19" s="6">
        <v>3495</v>
      </c>
    </row>
    <row r="20" spans="1:23" ns3:dyDescent="0.2">
      <c r="A20" s="3" t="s">
        <v>113</v>
      </c>
      <c r="B20" s="4" t="s">
        <v>74</v>
      </c>
      <c r="C20" s="4" t="s">
        <v>38</v>
      </c>
      <c r="D20" s="5">
        <v>1064</v>
      </c>
      <c r="E20" s="3" t="s">
        <v>26</v>
      </c>
      <c r="F20" s="3" t="s">
        <v>114</v>
      </c>
      <c r="G20" s="4" t="s">
        <v>115</v>
      </c>
      <c r="H20" s="4"/>
      <c r="I20" s="4" t="s">
        <v>115</v>
      </c>
      <c r="J20" s="4" t="s">
        <v>116</v>
      </c>
      <c r="K20" s="4" t="str">
        <f t="shared" si="0"/>
        <v>Feb-2025</v>
      </c>
      <c r="L20" s="6">
        <v>4001</v>
      </c>
      <c r="M20" s="6">
        <v>500</v>
      </c>
      <c r="N20" s="6">
        <v>500</v>
      </c>
      <c r="O20" s="6">
        <v>3859.84</v>
      </c>
      <c r="P20" s="6">
        <v>3561</v>
      </c>
      <c r="Q20" s="6">
        <v>212</v>
      </c>
      <c r="R20" s="6">
        <v>0</v>
      </c>
      <c r="S20" s="6">
        <v>0</v>
      </c>
      <c r="T20" s="6">
        <v>3349</v>
      </c>
      <c r="U20" s="6">
        <v>0</v>
      </c>
      <c r="V20" s="6">
        <v>0</v>
      </c>
      <c r="W20" s="6">
        <v>3561</v>
      </c>
    </row>
    <row r="21" spans="1:23" ns3:dyDescent="0.2">
      <c r="A21" s="3" t="s">
        <v>117</v>
      </c>
      <c r="B21" s="4" t="s">
        <v>74</v>
      </c>
      <c r="C21" s="4" t="s">
        <v>25</v>
      </c>
      <c r="D21" s="5">
        <v>1064</v>
      </c>
      <c r="E21" s="3" t="s">
        <v>26</v>
      </c>
      <c r="F21" s="3" t="s">
        <v>118</v>
      </c>
      <c r="G21" s="4" t="s">
        <v>119</v>
      </c>
      <c r="H21" s="4"/>
      <c r="I21" s="4" t="s">
        <v>120</v>
      </c>
      <c r="J21" s="4" t="s">
        <v>121</v>
      </c>
      <c r="K21" s="4" t="str">
        <f t="shared" si="0"/>
        <v>May-2026</v>
      </c>
      <c r="L21" s="6">
        <v>4051</v>
      </c>
      <c r="M21" s="6">
        <v>500</v>
      </c>
      <c r="N21" s="6">
        <v>700</v>
      </c>
      <c r="O21" s="6">
        <v>4822.41</v>
      </c>
      <c r="P21" s="6">
        <v>4252</v>
      </c>
      <c r="Q21" s="6">
        <v>4252</v>
      </c>
      <c r="R21" s="6">
        <v>150</v>
      </c>
      <c r="S21" s="6">
        <v>65</v>
      </c>
      <c r="T21" s="6">
        <v>0</v>
      </c>
      <c r="U21" s="6">
        <v>0</v>
      </c>
      <c r="V21" s="6">
        <v>0</v>
      </c>
      <c r="W21" s="6">
        <v>4467</v>
      </c>
    </row>
    <row r="22" spans="1:23" ns3:dyDescent="0.2">
      <c r="A22" s="3" t="s">
        <v>122</v>
      </c>
      <c r="B22" s="4" t="s">
        <v>48</v>
      </c>
      <c r="C22" s="14" t="s">
        <v>123</v>
      </c>
      <c r="D22" s="5">
        <v>1094</v>
      </c>
      <c r="E22" s="3" t="s">
        <v>26</v>
      </c>
      <c r="F22" s="3" t="s">
        <v>124</v>
      </c>
      <c r="G22" s="4" t="s">
        <v>125</v>
      </c>
      <c r="H22" s="4"/>
      <c r="I22" s="4" t="s">
        <v>125</v>
      </c>
      <c r="J22" s="4" t="s">
        <v>126</v>
      </c>
      <c r="K22" s="4" t="str">
        <f t="shared" si="0"/>
        <v>May-2021</v>
      </c>
      <c r="L22" s="6">
        <v>3856</v>
      </c>
      <c r="M22" s="6">
        <v>0</v>
      </c>
      <c r="N22" s="6">
        <v>0</v>
      </c>
      <c r="O22" s="6">
        <v>0</v>
      </c>
      <c r="P22" s="6">
        <v>3553</v>
      </c>
      <c r="Q22" s="6">
        <v>3553</v>
      </c>
      <c r="R22" s="6">
        <v>150</v>
      </c>
      <c r="S22" s="6">
        <v>0</v>
      </c>
      <c r="T22" s="6">
        <v>0</v>
      </c>
      <c r="U22" s="6">
        <v>0</v>
      </c>
      <c r="V22" s="6">
        <v>-3553</v>
      </c>
      <c r="W22" s="6">
        <v>150</v>
      </c>
    </row>
    <row r="23" spans="1:23" ns3:dyDescent="0.2">
      <c r="A23" s="3" t="s">
        <v>127</v>
      </c>
      <c r="B23" s="4" t="s">
        <v>48</v>
      </c>
      <c r="C23" s="4" t="s">
        <v>25</v>
      </c>
      <c r="D23" s="5">
        <v>1094</v>
      </c>
      <c r="E23" s="3" t="s">
        <v>26</v>
      </c>
      <c r="F23" s="3" t="s">
        <v>128</v>
      </c>
      <c r="G23" s="4" t="s">
        <v>129</v>
      </c>
      <c r="H23" s="4"/>
      <c r="I23" s="4" t="s">
        <v>130</v>
      </c>
      <c r="J23" s="4" t="s">
        <v>131</v>
      </c>
      <c r="K23" s="4" t="str">
        <f t="shared" si="0"/>
        <v>May-2026</v>
      </c>
      <c r="L23" s="6">
        <v>3731</v>
      </c>
      <c r="M23" s="6">
        <v>900</v>
      </c>
      <c r="N23" s="6">
        <v>900</v>
      </c>
      <c r="O23" s="6">
        <v>4172.75</v>
      </c>
      <c r="P23" s="6">
        <v>3610</v>
      </c>
      <c r="Q23" s="6">
        <v>3610</v>
      </c>
      <c r="R23" s="6">
        <v>75</v>
      </c>
      <c r="S23" s="6">
        <v>130</v>
      </c>
      <c r="T23" s="6">
        <v>0</v>
      </c>
      <c r="U23" s="6">
        <v>0</v>
      </c>
      <c r="V23" s="6">
        <v>0</v>
      </c>
      <c r="W23" s="6">
        <v>3815</v>
      </c>
    </row>
    <row r="24" spans="1:23" ns3:dyDescent="0.2">
      <c r="A24" s="3" t="s">
        <v>132</v>
      </c>
      <c r="B24" s="4" t="s">
        <v>37</v>
      </c>
      <c r="C24" s="4" t="s">
        <v>25</v>
      </c>
      <c r="D24" s="5">
        <v>1094</v>
      </c>
      <c r="E24" s="3" t="s">
        <v>26</v>
      </c>
      <c r="F24" s="3" t="s">
        <v>133</v>
      </c>
      <c r="G24" s="4" t="s">
        <v>134</v>
      </c>
      <c r="H24" s="4"/>
      <c r="I24" s="4" t="s">
        <v>134</v>
      </c>
      <c r="J24" s="4" t="s">
        <v>135</v>
      </c>
      <c r="K24" s="4" t="str">
        <f t="shared" si="0"/>
        <v>Jan-2026</v>
      </c>
      <c r="L24" s="6">
        <v>4374</v>
      </c>
      <c r="M24" s="6">
        <v>2465.5</v>
      </c>
      <c r="N24" s="6">
        <v>2665.5</v>
      </c>
      <c r="O24" s="6">
        <v>4635.3100000000004</v>
      </c>
      <c r="P24" s="6">
        <v>3931</v>
      </c>
      <c r="Q24" s="6">
        <v>3931</v>
      </c>
      <c r="R24" s="6">
        <v>225</v>
      </c>
      <c r="S24" s="6">
        <v>65</v>
      </c>
      <c r="T24" s="6">
        <v>0</v>
      </c>
      <c r="U24" s="6">
        <v>0</v>
      </c>
      <c r="V24" s="6">
        <v>0</v>
      </c>
      <c r="W24" s="6">
        <v>4221</v>
      </c>
    </row>
    <row r="25" spans="1:23" ns3:dyDescent="0.2">
      <c r="A25" s="3" t="s">
        <v>136</v>
      </c>
      <c r="B25" s="4" t="s">
        <v>37</v>
      </c>
      <c r="C25" s="4" t="s">
        <v>38</v>
      </c>
      <c r="D25" s="5">
        <v>1094</v>
      </c>
      <c r="E25" s="3" t="s">
        <v>26</v>
      </c>
      <c r="F25" s="3" t="s">
        <v>137</v>
      </c>
      <c r="G25" s="4" t="s">
        <v>138</v>
      </c>
      <c r="H25" s="4"/>
      <c r="I25" s="4" t="s">
        <v>139</v>
      </c>
      <c r="J25" s="4" t="s">
        <v>140</v>
      </c>
      <c r="K25" s="4" t="str">
        <f t="shared" si="0"/>
        <v>May-2026</v>
      </c>
      <c r="L25" s="6">
        <v>4374</v>
      </c>
      <c r="M25" s="6">
        <v>500</v>
      </c>
      <c r="N25" s="6">
        <v>500</v>
      </c>
      <c r="O25" s="6">
        <v>4059.86</v>
      </c>
      <c r="P25" s="6">
        <v>4124</v>
      </c>
      <c r="Q25" s="6">
        <v>1375</v>
      </c>
      <c r="R25" s="6">
        <v>75</v>
      </c>
      <c r="S25" s="6">
        <v>0</v>
      </c>
      <c r="T25" s="6">
        <v>2749</v>
      </c>
      <c r="U25" s="6">
        <v>0</v>
      </c>
      <c r="V25" s="6">
        <v>0</v>
      </c>
      <c r="W25" s="6">
        <v>4199</v>
      </c>
    </row>
    <row r="26" spans="1:23" ns3:dyDescent="0.2">
      <c r="A26" s="3" t="s">
        <v>141</v>
      </c>
      <c r="B26" s="4" t="s">
        <v>103</v>
      </c>
      <c r="C26" s="4" t="s">
        <v>25</v>
      </c>
      <c r="D26" s="5">
        <v>1054</v>
      </c>
      <c r="E26" s="3" t="s">
        <v>26</v>
      </c>
      <c r="F26" s="3" t="s">
        <v>142</v>
      </c>
      <c r="G26" s="4" t="s">
        <v>143</v>
      </c>
      <c r="H26" s="4"/>
      <c r="I26" s="4" t="s">
        <v>144</v>
      </c>
      <c r="J26" s="4" t="s">
        <v>145</v>
      </c>
      <c r="K26" s="4" t="str">
        <f t="shared" si="0"/>
        <v>Aug-2026</v>
      </c>
      <c r="L26" s="6">
        <v>3724</v>
      </c>
      <c r="M26" s="6">
        <v>500</v>
      </c>
      <c r="N26" s="6">
        <v>500</v>
      </c>
      <c r="O26" s="6">
        <v>0</v>
      </c>
      <c r="P26" s="6">
        <v>3435</v>
      </c>
      <c r="Q26" s="6">
        <v>3435</v>
      </c>
      <c r="R26" s="6">
        <v>75</v>
      </c>
      <c r="S26" s="6">
        <v>0</v>
      </c>
      <c r="T26" s="6">
        <v>0</v>
      </c>
      <c r="U26" s="6">
        <v>0</v>
      </c>
      <c r="V26" s="6">
        <v>0</v>
      </c>
      <c r="W26" s="6">
        <v>3510</v>
      </c>
    </row>
    <row r="27" spans="1:23" ns3:dyDescent="0.2">
      <c r="A27" s="3" t="s">
        <v>146</v>
      </c>
      <c r="B27" s="4" t="s">
        <v>103</v>
      </c>
      <c r="C27" s="4" t="s">
        <v>25</v>
      </c>
      <c r="D27" s="5">
        <v>1054</v>
      </c>
      <c r="E27" s="3" t="s">
        <v>147</v>
      </c>
      <c r="F27" s="3" t="s">
        <v>148</v>
      </c>
      <c r="G27" s="4" t="s">
        <v>149</v>
      </c>
      <c r="H27" s="4" t="s">
        <v>150</v>
      </c>
      <c r="I27" s="4" t="s">
        <v>151</v>
      </c>
      <c r="J27" s="4" t="s">
        <v>152</v>
      </c>
      <c r="K27" s="4" t="str">
        <f t="shared" si="0"/>
        <v>May-2025</v>
      </c>
      <c r="L27" s="6">
        <v>3599</v>
      </c>
      <c r="M27" s="6">
        <v>500</v>
      </c>
      <c r="N27" s="6">
        <v>500</v>
      </c>
      <c r="O27" s="6">
        <v>0</v>
      </c>
      <c r="P27" s="6">
        <v>3978</v>
      </c>
      <c r="Q27" s="6">
        <v>3978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3978</v>
      </c>
    </row>
    <row r="28" spans="1:23" ns3:dyDescent="0.2">
      <c r="A28" s="3" t="s">
        <v>153</v>
      </c>
      <c r="B28" s="4" t="s">
        <v>37</v>
      </c>
      <c r="C28" s="4" t="s">
        <v>25</v>
      </c>
      <c r="D28" s="5">
        <v>1094</v>
      </c>
      <c r="E28" s="3" t="s">
        <v>26</v>
      </c>
      <c r="F28" s="3" t="s">
        <v>154</v>
      </c>
      <c r="G28" s="4" t="s">
        <v>155</v>
      </c>
      <c r="H28" s="4"/>
      <c r="I28" s="4" t="s">
        <v>156</v>
      </c>
      <c r="J28" s="4" t="s">
        <v>157</v>
      </c>
      <c r="K28" s="4" t="str">
        <f t="shared" si="0"/>
        <v>Jul-2026</v>
      </c>
      <c r="L28" s="6">
        <v>4374</v>
      </c>
      <c r="M28" s="6">
        <v>500</v>
      </c>
      <c r="N28" s="6">
        <v>900</v>
      </c>
      <c r="O28" s="6">
        <v>0</v>
      </c>
      <c r="P28" s="6">
        <v>4241</v>
      </c>
      <c r="Q28" s="6">
        <v>4241</v>
      </c>
      <c r="R28" s="6">
        <v>0</v>
      </c>
      <c r="S28" s="6">
        <v>65</v>
      </c>
      <c r="T28" s="6">
        <v>0</v>
      </c>
      <c r="U28" s="6">
        <v>0</v>
      </c>
      <c r="V28" s="6">
        <v>0</v>
      </c>
      <c r="W28" s="6">
        <v>4306</v>
      </c>
    </row>
    <row r="29" spans="1:23" ns3:dyDescent="0.2">
      <c r="A29" s="3" t="s">
        <v>158</v>
      </c>
      <c r="B29" s="4" t="s">
        <v>37</v>
      </c>
      <c r="C29" s="4" t="s">
        <v>25</v>
      </c>
      <c r="D29" s="5">
        <v>1094</v>
      </c>
      <c r="E29" s="3" t="s">
        <v>26</v>
      </c>
      <c r="F29" s="3" t="s">
        <v>159</v>
      </c>
      <c r="G29" s="4" t="s">
        <v>160</v>
      </c>
      <c r="H29" s="4"/>
      <c r="I29" s="4" t="s">
        <v>160</v>
      </c>
      <c r="J29" s="4" t="s">
        <v>161</v>
      </c>
      <c r="K29" s="4" t="str">
        <f t="shared" si="0"/>
        <v>Jul-2026</v>
      </c>
      <c r="L29" s="6">
        <v>4249</v>
      </c>
      <c r="M29" s="6">
        <v>700</v>
      </c>
      <c r="N29" s="6">
        <v>700</v>
      </c>
      <c r="O29" s="6">
        <v>0</v>
      </c>
      <c r="P29" s="6">
        <v>4355</v>
      </c>
      <c r="Q29" s="6">
        <v>4355</v>
      </c>
      <c r="R29" s="6">
        <v>75</v>
      </c>
      <c r="S29" s="6">
        <v>65</v>
      </c>
      <c r="T29" s="6">
        <v>0</v>
      </c>
      <c r="U29" s="6">
        <v>0</v>
      </c>
      <c r="V29" s="6">
        <v>0</v>
      </c>
      <c r="W29" s="6">
        <v>4495</v>
      </c>
    </row>
    <row r="30" spans="1:23" ns3:dyDescent="0.2">
      <c r="A30" s="3" t="s">
        <v>162</v>
      </c>
      <c r="B30" s="4" t="s">
        <v>48</v>
      </c>
      <c r="C30" s="4" t="s">
        <v>25</v>
      </c>
      <c r="D30" s="5">
        <v>1094</v>
      </c>
      <c r="E30" s="3" t="s">
        <v>26</v>
      </c>
      <c r="F30" s="3" t="s">
        <v>163</v>
      </c>
      <c r="G30" s="4" t="s">
        <v>164</v>
      </c>
      <c r="H30" s="4"/>
      <c r="I30" s="4" t="s">
        <v>164</v>
      </c>
      <c r="J30" s="4" t="s">
        <v>165</v>
      </c>
      <c r="K30" s="4" t="str">
        <f t="shared" si="0"/>
        <v>Oct-2025</v>
      </c>
      <c r="L30" s="6">
        <v>3856</v>
      </c>
      <c r="M30" s="6">
        <v>500</v>
      </c>
      <c r="N30" s="6">
        <v>500</v>
      </c>
      <c r="O30" s="6">
        <v>4143.1899999999996</v>
      </c>
      <c r="P30" s="6">
        <v>3872</v>
      </c>
      <c r="Q30" s="6">
        <v>3872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3872</v>
      </c>
    </row>
    <row r="31" spans="1:23" ns3:dyDescent="0.2">
      <c r="A31" s="3" t="s">
        <v>162</v>
      </c>
      <c r="B31" s="4" t="s">
        <v>48</v>
      </c>
      <c r="C31" s="4" t="s">
        <v>25</v>
      </c>
      <c r="D31" s="5">
        <v>1094</v>
      </c>
      <c r="E31" s="3" t="s">
        <v>166</v>
      </c>
      <c r="F31" s="3" t="s">
        <v>163</v>
      </c>
      <c r="G31" s="4" t="s">
        <v>164</v>
      </c>
      <c r="H31" s="4"/>
      <c r="I31" s="4" t="s">
        <v>167</v>
      </c>
      <c r="J31" s="4" t="s">
        <v>168</v>
      </c>
      <c r="K31" s="4" t="str">
        <f t="shared" si="0"/>
        <v>Oct-2026</v>
      </c>
      <c r="L31" s="6">
        <v>0</v>
      </c>
      <c r="M31" s="6">
        <v>500</v>
      </c>
      <c r="N31" s="6">
        <v>0</v>
      </c>
      <c r="O31" s="6">
        <v>0</v>
      </c>
      <c r="P31" s="6">
        <v>3872</v>
      </c>
      <c r="Q31" s="6">
        <v>3872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3872</v>
      </c>
    </row>
    <row r="32" spans="1:23" ns3:dyDescent="0.2">
      <c r="A32" s="3" t="s">
        <v>169</v>
      </c>
      <c r="B32" s="4" t="s">
        <v>48</v>
      </c>
      <c r="C32" s="4" t="s">
        <v>25</v>
      </c>
      <c r="D32" s="5">
        <v>1094</v>
      </c>
      <c r="E32" s="3" t="s">
        <v>26</v>
      </c>
      <c r="F32" s="3" t="s">
        <v>170</v>
      </c>
      <c r="G32" s="4" t="s">
        <v>171</v>
      </c>
      <c r="H32" s="4"/>
      <c r="I32" s="4" t="s">
        <v>172</v>
      </c>
      <c r="J32" s="4" t="s">
        <v>173</v>
      </c>
      <c r="K32" s="4" t="str">
        <f t="shared" si="0"/>
        <v>Jun-2026</v>
      </c>
      <c r="L32" s="6">
        <v>3881</v>
      </c>
      <c r="M32" s="6">
        <v>500</v>
      </c>
      <c r="N32" s="6">
        <v>1100</v>
      </c>
      <c r="O32" s="6">
        <v>0</v>
      </c>
      <c r="P32" s="6">
        <v>3682</v>
      </c>
      <c r="Q32" s="6">
        <v>3682</v>
      </c>
      <c r="R32" s="6">
        <v>0</v>
      </c>
      <c r="S32" s="6">
        <v>195</v>
      </c>
      <c r="T32" s="6">
        <v>0</v>
      </c>
      <c r="U32" s="6">
        <v>0</v>
      </c>
      <c r="V32" s="6">
        <v>0</v>
      </c>
      <c r="W32" s="6">
        <v>3877</v>
      </c>
    </row>
    <row r="33" spans="1:23" ns3:dyDescent="0.2">
      <c r="A33" s="3" t="s">
        <v>174</v>
      </c>
      <c r="B33" s="4" t="s">
        <v>37</v>
      </c>
      <c r="C33" s="4" t="s">
        <v>25</v>
      </c>
      <c r="D33" s="5">
        <v>1094</v>
      </c>
      <c r="E33" s="3" t="s">
        <v>26</v>
      </c>
      <c r="F33" s="3" t="s">
        <v>175</v>
      </c>
      <c r="G33" s="4" t="s">
        <v>29</v>
      </c>
      <c r="H33" s="4"/>
      <c r="I33" s="4" t="s">
        <v>29</v>
      </c>
      <c r="J33" s="4" t="s">
        <v>176</v>
      </c>
      <c r="K33" s="4" t="str">
        <f t="shared" si="0"/>
        <v>Aug-2026</v>
      </c>
      <c r="L33" s="6">
        <v>4374</v>
      </c>
      <c r="M33" s="6">
        <v>500</v>
      </c>
      <c r="N33" s="6">
        <v>500</v>
      </c>
      <c r="O33" s="6">
        <v>4904.47</v>
      </c>
      <c r="P33" s="6">
        <v>4425</v>
      </c>
      <c r="Q33" s="6">
        <v>4425</v>
      </c>
      <c r="R33" s="6">
        <v>150</v>
      </c>
      <c r="S33" s="6">
        <v>0</v>
      </c>
      <c r="T33" s="6">
        <v>0</v>
      </c>
      <c r="U33" s="6">
        <v>0</v>
      </c>
      <c r="V33" s="6">
        <v>0</v>
      </c>
      <c r="W33" s="6">
        <v>4575</v>
      </c>
    </row>
    <row r="34" spans="1:23" ns3:dyDescent="0.2">
      <c r="A34" s="3" t="s">
        <v>177</v>
      </c>
      <c r="B34" s="4" t="s">
        <v>37</v>
      </c>
      <c r="C34" s="4" t="s">
        <v>25</v>
      </c>
      <c r="D34" s="5">
        <v>1094</v>
      </c>
      <c r="E34" s="3" t="s">
        <v>67</v>
      </c>
      <c r="F34" s="3" t="s">
        <v>67</v>
      </c>
      <c r="G34" s="4"/>
      <c r="H34" s="4"/>
      <c r="I34" s="4"/>
      <c r="J34" s="4"/>
      <c r="K34" s="4" t="str">
        <f t="shared" si="0"/>
        <v>Jan-1900</v>
      </c>
      <c r="L34" s="6">
        <v>4249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</row>
    <row r="35" spans="1:23" ns3:dyDescent="0.2">
      <c r="A35" s="3" t="s">
        <v>178</v>
      </c>
      <c r="B35" s="4" t="s">
        <v>37</v>
      </c>
      <c r="C35" s="4" t="s">
        <v>25</v>
      </c>
      <c r="D35" s="5">
        <v>1094</v>
      </c>
      <c r="E35" s="3" t="s">
        <v>26</v>
      </c>
      <c r="F35" s="3" t="s">
        <v>179</v>
      </c>
      <c r="G35" s="4" t="s">
        <v>180</v>
      </c>
      <c r="H35" s="4"/>
      <c r="I35" s="4" t="s">
        <v>181</v>
      </c>
      <c r="J35" s="4" t="s">
        <v>30</v>
      </c>
      <c r="K35" s="4" t="str">
        <f t="shared" si="0"/>
        <v>Jul-2026</v>
      </c>
      <c r="L35" s="6">
        <v>4374</v>
      </c>
      <c r="M35" s="6">
        <v>99</v>
      </c>
      <c r="N35" s="6">
        <v>299</v>
      </c>
      <c r="O35" s="6">
        <v>4569.51</v>
      </c>
      <c r="P35" s="6">
        <v>3774</v>
      </c>
      <c r="Q35" s="6">
        <v>3774</v>
      </c>
      <c r="R35" s="6">
        <v>75</v>
      </c>
      <c r="S35" s="6">
        <v>65</v>
      </c>
      <c r="T35" s="6">
        <v>0</v>
      </c>
      <c r="U35" s="6">
        <v>0</v>
      </c>
      <c r="V35" s="6">
        <v>0</v>
      </c>
      <c r="W35" s="6">
        <v>3914</v>
      </c>
    </row>
    <row r="36" spans="1:23" ns3:dyDescent="0.2">
      <c r="A36" s="3" t="s">
        <v>182</v>
      </c>
      <c r="B36" s="4" t="s">
        <v>37</v>
      </c>
      <c r="C36" s="4" t="s">
        <v>25</v>
      </c>
      <c r="D36" s="5">
        <v>1094</v>
      </c>
      <c r="E36" s="3" t="s">
        <v>26</v>
      </c>
      <c r="F36" s="3" t="s">
        <v>183</v>
      </c>
      <c r="G36" s="4" t="s">
        <v>184</v>
      </c>
      <c r="H36" s="4"/>
      <c r="I36" s="4" t="s">
        <v>185</v>
      </c>
      <c r="J36" s="4" t="s">
        <v>186</v>
      </c>
      <c r="K36" s="4" t="str">
        <f t="shared" si="0"/>
        <v>Jun-2026</v>
      </c>
      <c r="L36" s="6">
        <v>4374</v>
      </c>
      <c r="M36" s="6">
        <v>2663</v>
      </c>
      <c r="N36" s="6">
        <v>2663</v>
      </c>
      <c r="O36" s="6">
        <v>0</v>
      </c>
      <c r="P36" s="6">
        <v>4326</v>
      </c>
      <c r="Q36" s="6">
        <v>4326</v>
      </c>
      <c r="R36" s="6">
        <v>75</v>
      </c>
      <c r="S36" s="6">
        <v>65</v>
      </c>
      <c r="T36" s="6">
        <v>0</v>
      </c>
      <c r="U36" s="6">
        <v>60</v>
      </c>
      <c r="V36" s="6">
        <v>0</v>
      </c>
      <c r="W36" s="6">
        <v>4526</v>
      </c>
    </row>
    <row r="37" spans="1:23" ns3:dyDescent="0.2">
      <c r="A37" s="3" t="s">
        <v>187</v>
      </c>
      <c r="B37" s="4" t="s">
        <v>103</v>
      </c>
      <c r="C37" s="4" t="s">
        <v>25</v>
      </c>
      <c r="D37" s="5">
        <v>1054</v>
      </c>
      <c r="E37" s="3" t="s">
        <v>26</v>
      </c>
      <c r="F37" s="3" t="s">
        <v>188</v>
      </c>
      <c r="G37" s="4" t="s">
        <v>189</v>
      </c>
      <c r="H37" s="4"/>
      <c r="I37" s="4" t="s">
        <v>189</v>
      </c>
      <c r="J37" s="4" t="s">
        <v>190</v>
      </c>
      <c r="K37" s="4" t="str">
        <f t="shared" si="0"/>
        <v>May-2026</v>
      </c>
      <c r="L37" s="6">
        <v>3784</v>
      </c>
      <c r="M37" s="6">
        <v>500</v>
      </c>
      <c r="N37" s="6">
        <v>700</v>
      </c>
      <c r="O37" s="6">
        <v>0</v>
      </c>
      <c r="P37" s="6">
        <v>3770</v>
      </c>
      <c r="Q37" s="6">
        <v>3770</v>
      </c>
      <c r="R37" s="6">
        <v>0</v>
      </c>
      <c r="S37" s="6">
        <v>65</v>
      </c>
      <c r="T37" s="6">
        <v>0</v>
      </c>
      <c r="U37" s="6">
        <v>0</v>
      </c>
      <c r="V37" s="6">
        <v>0</v>
      </c>
      <c r="W37" s="6">
        <v>3835</v>
      </c>
    </row>
    <row r="38" spans="1:23" ns3:dyDescent="0.2">
      <c r="A38" s="3" t="s">
        <v>191</v>
      </c>
      <c r="B38" s="4" t="s">
        <v>103</v>
      </c>
      <c r="C38" s="4" t="s">
        <v>25</v>
      </c>
      <c r="D38" s="5">
        <v>1054</v>
      </c>
      <c r="E38" s="3" t="s">
        <v>26</v>
      </c>
      <c r="F38" s="3" t="s">
        <v>192</v>
      </c>
      <c r="G38" s="4" t="s">
        <v>193</v>
      </c>
      <c r="H38" s="4"/>
      <c r="I38" s="4" t="s">
        <v>194</v>
      </c>
      <c r="J38" s="4" t="s">
        <v>195</v>
      </c>
      <c r="K38" s="4" t="str">
        <f t="shared" si="0"/>
        <v>Jul-2026</v>
      </c>
      <c r="L38" s="6">
        <v>3599</v>
      </c>
      <c r="M38" s="6">
        <v>700</v>
      </c>
      <c r="N38" s="6">
        <v>700</v>
      </c>
      <c r="O38" s="6">
        <v>0</v>
      </c>
      <c r="P38" s="6">
        <v>3629</v>
      </c>
      <c r="Q38" s="6">
        <v>3629</v>
      </c>
      <c r="R38" s="6">
        <v>75</v>
      </c>
      <c r="S38" s="6">
        <v>65</v>
      </c>
      <c r="T38" s="6">
        <v>0</v>
      </c>
      <c r="U38" s="6">
        <v>0</v>
      </c>
      <c r="V38" s="6">
        <v>0</v>
      </c>
      <c r="W38" s="6">
        <v>3769</v>
      </c>
    </row>
    <row r="39" spans="1:23" ns3:dyDescent="0.2">
      <c r="A39" s="3" t="s">
        <v>196</v>
      </c>
      <c r="B39" s="4" t="s">
        <v>74</v>
      </c>
      <c r="C39" s="4" t="s">
        <v>25</v>
      </c>
      <c r="D39" s="5">
        <v>1064</v>
      </c>
      <c r="E39" s="3" t="s">
        <v>26</v>
      </c>
      <c r="F39" s="3" t="s">
        <v>197</v>
      </c>
      <c r="G39" s="4" t="s">
        <v>198</v>
      </c>
      <c r="H39" s="4"/>
      <c r="I39" s="4" t="s">
        <v>198</v>
      </c>
      <c r="J39" s="4" t="s">
        <v>199</v>
      </c>
      <c r="K39" s="4" t="str">
        <f t="shared" si="0"/>
        <v>May-2026</v>
      </c>
      <c r="L39" s="6">
        <v>4151</v>
      </c>
      <c r="M39" s="6">
        <v>2516</v>
      </c>
      <c r="N39" s="6">
        <v>2516</v>
      </c>
      <c r="O39" s="6">
        <v>2773.76</v>
      </c>
      <c r="P39" s="6">
        <v>4032</v>
      </c>
      <c r="Q39" s="6">
        <v>4032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4032</v>
      </c>
    </row>
    <row r="40" spans="1:23" ns3:dyDescent="0.2">
      <c r="A40" s="3" t="s">
        <v>200</v>
      </c>
      <c r="B40" s="4" t="s">
        <v>74</v>
      </c>
      <c r="C40" s="4" t="s">
        <v>25</v>
      </c>
      <c r="D40" s="5">
        <v>1064</v>
      </c>
      <c r="E40" s="3" t="s">
        <v>26</v>
      </c>
      <c r="F40" s="3" t="s">
        <v>201</v>
      </c>
      <c r="G40" s="4" t="s">
        <v>202</v>
      </c>
      <c r="H40" s="4"/>
      <c r="I40" s="4" t="s">
        <v>202</v>
      </c>
      <c r="J40" s="4" t="s">
        <v>203</v>
      </c>
      <c r="K40" s="4" t="str">
        <f t="shared" si="0"/>
        <v>Jan-2026</v>
      </c>
      <c r="L40" s="6">
        <v>4076</v>
      </c>
      <c r="M40" s="6">
        <v>500</v>
      </c>
      <c r="N40" s="6">
        <v>500</v>
      </c>
      <c r="O40" s="6">
        <v>4217.33</v>
      </c>
      <c r="P40" s="6">
        <v>3806</v>
      </c>
      <c r="Q40" s="6">
        <v>3806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3806</v>
      </c>
    </row>
    <row r="41" spans="1:23" ns3:dyDescent="0.2">
      <c r="A41" s="3" t="s">
        <v>204</v>
      </c>
      <c r="B41" s="4" t="s">
        <v>37</v>
      </c>
      <c r="C41" s="4" t="s">
        <v>25</v>
      </c>
      <c r="D41" s="5">
        <v>1094</v>
      </c>
      <c r="E41" s="3" t="s">
        <v>26</v>
      </c>
      <c r="F41" s="3" t="s">
        <v>205</v>
      </c>
      <c r="G41" s="4" t="s">
        <v>206</v>
      </c>
      <c r="H41" s="4"/>
      <c r="I41" s="4" t="s">
        <v>207</v>
      </c>
      <c r="J41" s="4" t="s">
        <v>208</v>
      </c>
      <c r="K41" s="4" t="str">
        <f t="shared" si="0"/>
        <v>Aug-2026</v>
      </c>
      <c r="L41" s="6">
        <v>4274</v>
      </c>
      <c r="M41" s="6">
        <v>300</v>
      </c>
      <c r="N41" s="6">
        <v>300</v>
      </c>
      <c r="O41" s="6">
        <v>0</v>
      </c>
      <c r="P41" s="6">
        <v>4094</v>
      </c>
      <c r="Q41" s="6">
        <v>4094</v>
      </c>
      <c r="R41" s="6">
        <v>75</v>
      </c>
      <c r="S41" s="6">
        <v>0</v>
      </c>
      <c r="T41" s="6">
        <v>0</v>
      </c>
      <c r="U41" s="6">
        <v>0</v>
      </c>
      <c r="V41" s="6">
        <v>0</v>
      </c>
      <c r="W41" s="6">
        <v>4169</v>
      </c>
    </row>
    <row r="42" spans="1:23" ns3:dyDescent="0.2">
      <c r="A42" s="3" t="s">
        <v>209</v>
      </c>
      <c r="B42" s="4" t="s">
        <v>37</v>
      </c>
      <c r="C42" s="4" t="s">
        <v>25</v>
      </c>
      <c r="D42" s="5">
        <v>1094</v>
      </c>
      <c r="E42" s="3" t="s">
        <v>26</v>
      </c>
      <c r="F42" s="3" t="s">
        <v>210</v>
      </c>
      <c r="G42" s="4" t="s">
        <v>211</v>
      </c>
      <c r="H42" s="4"/>
      <c r="I42" s="4" t="s">
        <v>58</v>
      </c>
      <c r="J42" s="4" t="s">
        <v>212</v>
      </c>
      <c r="K42" s="4" t="str">
        <f t="shared" si="0"/>
        <v>Aug-2023</v>
      </c>
      <c r="L42" s="6">
        <v>4399</v>
      </c>
      <c r="M42" s="6">
        <v>300</v>
      </c>
      <c r="N42" s="6">
        <v>500</v>
      </c>
      <c r="O42" s="6">
        <v>0</v>
      </c>
      <c r="P42" s="6">
        <v>4007</v>
      </c>
      <c r="Q42" s="6">
        <v>4007</v>
      </c>
      <c r="R42" s="6">
        <v>375</v>
      </c>
      <c r="S42" s="6">
        <v>0</v>
      </c>
      <c r="T42" s="6">
        <v>0</v>
      </c>
      <c r="U42" s="6">
        <v>0</v>
      </c>
      <c r="V42" s="6">
        <v>0</v>
      </c>
      <c r="W42" s="6">
        <v>4382</v>
      </c>
    </row>
    <row r="43" spans="1:23" ns3:dyDescent="0.2">
      <c r="A43" s="3" t="s">
        <v>213</v>
      </c>
      <c r="B43" s="4" t="s">
        <v>103</v>
      </c>
      <c r="C43" s="4" t="s">
        <v>25</v>
      </c>
      <c r="D43" s="5">
        <v>1054</v>
      </c>
      <c r="E43" s="3" t="s">
        <v>26</v>
      </c>
      <c r="F43" s="3" t="s">
        <v>214</v>
      </c>
      <c r="G43" s="4" t="s">
        <v>215</v>
      </c>
      <c r="H43" s="4"/>
      <c r="I43" s="4" t="s">
        <v>216</v>
      </c>
      <c r="J43" s="4" t="s">
        <v>217</v>
      </c>
      <c r="K43" s="4" t="str">
        <f t="shared" si="0"/>
        <v>Jun-2025</v>
      </c>
      <c r="L43" s="6">
        <v>3609</v>
      </c>
      <c r="M43" s="6">
        <v>500</v>
      </c>
      <c r="N43" s="6">
        <v>500</v>
      </c>
      <c r="O43" s="6">
        <v>10049.18</v>
      </c>
      <c r="P43" s="6">
        <v>3775</v>
      </c>
      <c r="Q43" s="6">
        <v>3775</v>
      </c>
      <c r="R43" s="6">
        <v>75</v>
      </c>
      <c r="S43" s="6">
        <v>0</v>
      </c>
      <c r="T43" s="6">
        <v>0</v>
      </c>
      <c r="U43" s="6">
        <v>0</v>
      </c>
      <c r="V43" s="6">
        <v>0</v>
      </c>
      <c r="W43" s="6">
        <v>3850</v>
      </c>
    </row>
    <row r="44" spans="1:23" ns3:dyDescent="0.2">
      <c r="A44" s="3" t="s">
        <v>218</v>
      </c>
      <c r="B44" s="4" t="s">
        <v>103</v>
      </c>
      <c r="C44" s="4" t="s">
        <v>25</v>
      </c>
      <c r="D44" s="5">
        <v>1054</v>
      </c>
      <c r="E44" s="3" t="s">
        <v>26</v>
      </c>
      <c r="F44" s="3" t="s">
        <v>219</v>
      </c>
      <c r="G44" s="4" t="s">
        <v>220</v>
      </c>
      <c r="H44" s="4"/>
      <c r="I44" s="4" t="s">
        <v>221</v>
      </c>
      <c r="J44" s="4" t="s">
        <v>222</v>
      </c>
      <c r="K44" s="4" t="str">
        <f t="shared" si="0"/>
        <v>Nov-2025</v>
      </c>
      <c r="L44" s="6">
        <v>3684</v>
      </c>
      <c r="M44" s="6">
        <v>500</v>
      </c>
      <c r="N44" s="6">
        <v>500</v>
      </c>
      <c r="O44" s="6">
        <v>0</v>
      </c>
      <c r="P44" s="6">
        <v>3678</v>
      </c>
      <c r="Q44" s="6">
        <v>3678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3678</v>
      </c>
    </row>
    <row r="45" spans="1:23" ns3:dyDescent="0.2">
      <c r="A45" s="3" t="s">
        <v>223</v>
      </c>
      <c r="B45" s="4" t="s">
        <v>48</v>
      </c>
      <c r="C45" s="4" t="s">
        <v>25</v>
      </c>
      <c r="D45" s="5">
        <v>1094</v>
      </c>
      <c r="E45" s="3" t="s">
        <v>26</v>
      </c>
      <c r="F45" s="3" t="s">
        <v>224</v>
      </c>
      <c r="G45" s="4" t="s">
        <v>130</v>
      </c>
      <c r="H45" s="4"/>
      <c r="I45" s="4" t="s">
        <v>130</v>
      </c>
      <c r="J45" s="4" t="s">
        <v>131</v>
      </c>
      <c r="K45" s="4" t="str">
        <f t="shared" si="0"/>
        <v>May-2026</v>
      </c>
      <c r="L45" s="6">
        <v>3781</v>
      </c>
      <c r="M45" s="6">
        <v>500</v>
      </c>
      <c r="N45" s="6">
        <v>500</v>
      </c>
      <c r="O45" s="6">
        <v>0</v>
      </c>
      <c r="P45" s="6">
        <v>3895</v>
      </c>
      <c r="Q45" s="6">
        <v>3895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3895</v>
      </c>
    </row>
    <row r="46" spans="1:23" ns3:dyDescent="0.2">
      <c r="A46" s="3" t="s">
        <v>225</v>
      </c>
      <c r="B46" s="4" t="s">
        <v>48</v>
      </c>
      <c r="C46" s="4" t="s">
        <v>25</v>
      </c>
      <c r="D46" s="5">
        <v>1094</v>
      </c>
      <c r="E46" s="3" t="s">
        <v>26</v>
      </c>
      <c r="F46" s="3" t="s">
        <v>226</v>
      </c>
      <c r="G46" s="4" t="s">
        <v>227</v>
      </c>
      <c r="H46" s="4"/>
      <c r="I46" s="4" t="s">
        <v>227</v>
      </c>
      <c r="J46" s="4" t="s">
        <v>228</v>
      </c>
      <c r="K46" s="4" t="str">
        <f t="shared" si="0"/>
        <v>Sep-2026</v>
      </c>
      <c r="L46" s="6">
        <v>3781</v>
      </c>
      <c r="M46" s="6">
        <v>500</v>
      </c>
      <c r="N46" s="6">
        <v>700</v>
      </c>
      <c r="O46" s="6">
        <v>0</v>
      </c>
      <c r="P46" s="6">
        <v>3875</v>
      </c>
      <c r="Q46" s="6">
        <v>3875</v>
      </c>
      <c r="R46" s="6">
        <v>75</v>
      </c>
      <c r="S46" s="6">
        <v>65</v>
      </c>
      <c r="T46" s="6">
        <v>0</v>
      </c>
      <c r="U46" s="6">
        <v>0</v>
      </c>
      <c r="V46" s="6">
        <v>0</v>
      </c>
      <c r="W46" s="6">
        <v>4015</v>
      </c>
    </row>
    <row r="47" spans="1:23" ns3:dyDescent="0.2">
      <c r="A47" s="3" t="s">
        <v>229</v>
      </c>
      <c r="B47" s="4" t="s">
        <v>37</v>
      </c>
      <c r="C47" s="4" t="s">
        <v>25</v>
      </c>
      <c r="D47" s="5">
        <v>1094</v>
      </c>
      <c r="E47" s="3" t="s">
        <v>26</v>
      </c>
      <c r="F47" s="3" t="s">
        <v>230</v>
      </c>
      <c r="G47" s="4" t="s">
        <v>231</v>
      </c>
      <c r="H47" s="4"/>
      <c r="I47" s="4" t="s">
        <v>231</v>
      </c>
      <c r="J47" s="4" t="s">
        <v>232</v>
      </c>
      <c r="K47" s="4" t="str">
        <f t="shared" si="0"/>
        <v>May-2026</v>
      </c>
      <c r="L47" s="6">
        <v>4399</v>
      </c>
      <c r="M47" s="6">
        <v>500</v>
      </c>
      <c r="N47" s="6">
        <v>700</v>
      </c>
      <c r="O47" s="6">
        <v>0</v>
      </c>
      <c r="P47" s="6">
        <v>4272</v>
      </c>
      <c r="Q47" s="6">
        <v>4272</v>
      </c>
      <c r="R47" s="6">
        <v>75</v>
      </c>
      <c r="S47" s="6">
        <v>65</v>
      </c>
      <c r="T47" s="6">
        <v>0</v>
      </c>
      <c r="U47" s="6">
        <v>60</v>
      </c>
      <c r="V47" s="6">
        <v>0</v>
      </c>
      <c r="W47" s="6">
        <v>4472</v>
      </c>
    </row>
    <row r="48" spans="1:23" ns3:dyDescent="0.2">
      <c r="A48" s="3" t="s">
        <v>233</v>
      </c>
      <c r="B48" s="4" t="s">
        <v>37</v>
      </c>
      <c r="C48" s="4" t="s">
        <v>25</v>
      </c>
      <c r="D48" s="5">
        <v>1094</v>
      </c>
      <c r="E48" s="3" t="s">
        <v>26</v>
      </c>
      <c r="F48" s="3" t="s">
        <v>234</v>
      </c>
      <c r="G48" s="4" t="s">
        <v>235</v>
      </c>
      <c r="H48" s="4"/>
      <c r="I48" s="4" t="s">
        <v>235</v>
      </c>
      <c r="J48" s="4" t="s">
        <v>236</v>
      </c>
      <c r="K48" s="4" t="str">
        <f t="shared" si="0"/>
        <v>Jun-2026</v>
      </c>
      <c r="L48" s="6">
        <v>4274</v>
      </c>
      <c r="M48" s="6">
        <v>500</v>
      </c>
      <c r="N48" s="6">
        <v>500</v>
      </c>
      <c r="O48" s="6">
        <v>0</v>
      </c>
      <c r="P48" s="6">
        <v>4484</v>
      </c>
      <c r="Q48" s="6">
        <v>4484</v>
      </c>
      <c r="R48" s="6">
        <v>75</v>
      </c>
      <c r="S48" s="6">
        <v>0</v>
      </c>
      <c r="T48" s="6">
        <v>0</v>
      </c>
      <c r="U48" s="6">
        <v>0</v>
      </c>
      <c r="V48" s="6">
        <v>0</v>
      </c>
      <c r="W48" s="6">
        <v>4559</v>
      </c>
    </row>
    <row r="49" spans="1:23" ns3:dyDescent="0.2">
      <c r="A49" s="3" t="s">
        <v>237</v>
      </c>
      <c r="B49" s="4" t="s">
        <v>37</v>
      </c>
      <c r="C49" s="4" t="s">
        <v>25</v>
      </c>
      <c r="D49" s="5">
        <v>1094</v>
      </c>
      <c r="E49" s="3" t="s">
        <v>26</v>
      </c>
      <c r="F49" s="3" t="s">
        <v>238</v>
      </c>
      <c r="G49" s="4" t="s">
        <v>239</v>
      </c>
      <c r="H49" s="4"/>
      <c r="I49" s="4" t="s">
        <v>240</v>
      </c>
      <c r="J49" s="4" t="s">
        <v>241</v>
      </c>
      <c r="K49" s="4" t="str">
        <f t="shared" si="0"/>
        <v>Jun-2026</v>
      </c>
      <c r="L49" s="6">
        <v>4274</v>
      </c>
      <c r="M49" s="6">
        <v>300</v>
      </c>
      <c r="N49" s="6">
        <v>300</v>
      </c>
      <c r="O49" s="6">
        <v>4468.92</v>
      </c>
      <c r="P49" s="6">
        <v>4121</v>
      </c>
      <c r="Q49" s="6">
        <v>4121</v>
      </c>
      <c r="R49" s="6">
        <v>75</v>
      </c>
      <c r="S49" s="6">
        <v>0</v>
      </c>
      <c r="T49" s="6">
        <v>0</v>
      </c>
      <c r="U49" s="6">
        <v>0</v>
      </c>
      <c r="V49" s="6">
        <v>0</v>
      </c>
      <c r="W49" s="6">
        <v>4196</v>
      </c>
    </row>
    <row r="50" spans="1:23" ns3:dyDescent="0.2">
      <c r="A50" s="3" t="s">
        <v>242</v>
      </c>
      <c r="B50" s="4" t="s">
        <v>37</v>
      </c>
      <c r="C50" s="4" t="s">
        <v>25</v>
      </c>
      <c r="D50" s="5">
        <v>1094</v>
      </c>
      <c r="E50" s="3" t="s">
        <v>26</v>
      </c>
      <c r="F50" s="3" t="s">
        <v>243</v>
      </c>
      <c r="G50" s="4" t="s">
        <v>244</v>
      </c>
      <c r="H50" s="4"/>
      <c r="I50" s="4" t="s">
        <v>244</v>
      </c>
      <c r="J50" s="4" t="s">
        <v>245</v>
      </c>
      <c r="K50" s="4" t="str">
        <f t="shared" si="0"/>
        <v>Mar-2026</v>
      </c>
      <c r="L50" s="6">
        <v>4324</v>
      </c>
      <c r="M50" s="6">
        <v>500</v>
      </c>
      <c r="N50" s="6">
        <v>500</v>
      </c>
      <c r="O50" s="6">
        <v>0</v>
      </c>
      <c r="P50" s="6">
        <v>4255</v>
      </c>
      <c r="Q50" s="6">
        <v>4255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4255</v>
      </c>
    </row>
    <row r="51" spans="1:23" ns3:dyDescent="0.2">
      <c r="A51" s="3" t="s">
        <v>246</v>
      </c>
      <c r="B51" s="4" t="s">
        <v>24</v>
      </c>
      <c r="C51" s="4" t="s">
        <v>25</v>
      </c>
      <c r="D51" s="5">
        <v>650</v>
      </c>
      <c r="E51" s="3" t="s">
        <v>26</v>
      </c>
      <c r="F51" s="3" t="s">
        <v>247</v>
      </c>
      <c r="G51" s="4" t="s">
        <v>248</v>
      </c>
      <c r="H51" s="4"/>
      <c r="I51" s="4" t="s">
        <v>248</v>
      </c>
      <c r="J51" s="4" t="s">
        <v>249</v>
      </c>
      <c r="K51" s="4" t="str">
        <f t="shared" si="0"/>
        <v>Jun-2026</v>
      </c>
      <c r="L51" s="6">
        <v>3297</v>
      </c>
      <c r="M51" s="6">
        <v>500</v>
      </c>
      <c r="N51" s="6">
        <v>700</v>
      </c>
      <c r="O51" s="6">
        <v>3658.28</v>
      </c>
      <c r="P51" s="6">
        <v>3386</v>
      </c>
      <c r="Q51" s="6">
        <v>3386</v>
      </c>
      <c r="R51" s="6">
        <v>0</v>
      </c>
      <c r="S51" s="6">
        <v>65</v>
      </c>
      <c r="T51" s="6">
        <v>0</v>
      </c>
      <c r="U51" s="6">
        <v>0</v>
      </c>
      <c r="V51" s="6">
        <v>0</v>
      </c>
      <c r="W51" s="6">
        <v>3451</v>
      </c>
    </row>
    <row r="52" spans="1:23" ns3:dyDescent="0.2">
      <c r="A52" s="3" t="s">
        <v>250</v>
      </c>
      <c r="B52" s="4" t="s">
        <v>24</v>
      </c>
      <c r="C52" s="4" t="s">
        <v>25</v>
      </c>
      <c r="D52" s="5">
        <v>650</v>
      </c>
      <c r="E52" s="3" t="s">
        <v>26</v>
      </c>
      <c r="F52" s="3" t="s">
        <v>251</v>
      </c>
      <c r="G52" s="4" t="s">
        <v>202</v>
      </c>
      <c r="H52" s="4"/>
      <c r="I52" s="4" t="s">
        <v>202</v>
      </c>
      <c r="J52" s="4" t="s">
        <v>203</v>
      </c>
      <c r="K52" s="4" t="str">
        <f t="shared" si="0"/>
        <v>Jan-2026</v>
      </c>
      <c r="L52" s="6">
        <v>3322</v>
      </c>
      <c r="M52" s="6">
        <v>500</v>
      </c>
      <c r="N52" s="6">
        <v>700</v>
      </c>
      <c r="O52" s="6">
        <v>0</v>
      </c>
      <c r="P52" s="6">
        <v>3041</v>
      </c>
      <c r="Q52" s="6">
        <v>3041</v>
      </c>
      <c r="R52" s="6">
        <v>0</v>
      </c>
      <c r="S52" s="6">
        <v>65</v>
      </c>
      <c r="T52" s="6">
        <v>0</v>
      </c>
      <c r="U52" s="6">
        <v>0</v>
      </c>
      <c r="V52" s="6">
        <v>0</v>
      </c>
      <c r="W52" s="6">
        <v>3106</v>
      </c>
    </row>
    <row r="53" spans="1:23" ns3:dyDescent="0.2">
      <c r="A53" s="3" t="s">
        <v>252</v>
      </c>
      <c r="B53" s="4" t="s">
        <v>37</v>
      </c>
      <c r="C53" s="4" t="s">
        <v>25</v>
      </c>
      <c r="D53" s="5">
        <v>1094</v>
      </c>
      <c r="E53" s="3" t="s">
        <v>26</v>
      </c>
      <c r="F53" s="3" t="s">
        <v>253</v>
      </c>
      <c r="G53" s="4" t="s">
        <v>254</v>
      </c>
      <c r="H53" s="4"/>
      <c r="I53" s="4" t="s">
        <v>254</v>
      </c>
      <c r="J53" s="4" t="s">
        <v>255</v>
      </c>
      <c r="K53" s="4" t="str">
        <f t="shared" si="0"/>
        <v>May-2022</v>
      </c>
      <c r="L53" s="6">
        <v>4249</v>
      </c>
      <c r="M53" s="6">
        <v>3996</v>
      </c>
      <c r="N53" s="6">
        <v>3996</v>
      </c>
      <c r="O53" s="6">
        <v>5125.55</v>
      </c>
      <c r="P53" s="6">
        <v>3926</v>
      </c>
      <c r="Q53" s="6">
        <v>3926</v>
      </c>
      <c r="R53" s="6">
        <v>75</v>
      </c>
      <c r="S53" s="6">
        <v>0</v>
      </c>
      <c r="T53" s="6">
        <v>0</v>
      </c>
      <c r="U53" s="6">
        <v>0</v>
      </c>
      <c r="V53" s="6">
        <v>0</v>
      </c>
      <c r="W53" s="6">
        <v>4001</v>
      </c>
    </row>
    <row r="54" spans="1:23" ns3:dyDescent="0.2">
      <c r="A54" s="3" t="s">
        <v>256</v>
      </c>
      <c r="B54" s="4" t="s">
        <v>37</v>
      </c>
      <c r="C54" s="4" t="s">
        <v>25</v>
      </c>
      <c r="D54" s="5">
        <v>1094</v>
      </c>
      <c r="E54" s="3" t="s">
        <v>26</v>
      </c>
      <c r="F54" s="3" t="s">
        <v>257</v>
      </c>
      <c r="G54" s="4" t="s">
        <v>258</v>
      </c>
      <c r="H54" s="4"/>
      <c r="I54" s="4" t="s">
        <v>259</v>
      </c>
      <c r="J54" s="4" t="s">
        <v>260</v>
      </c>
      <c r="K54" s="4" t="str">
        <f t="shared" si="0"/>
        <v>Aug-2026</v>
      </c>
      <c r="L54" s="6">
        <v>4374</v>
      </c>
      <c r="M54" s="6">
        <v>500</v>
      </c>
      <c r="N54" s="6">
        <v>500</v>
      </c>
      <c r="O54" s="6">
        <v>4525.47</v>
      </c>
      <c r="P54" s="6">
        <v>4121</v>
      </c>
      <c r="Q54" s="6">
        <v>4121</v>
      </c>
      <c r="R54" s="6">
        <v>75</v>
      </c>
      <c r="S54" s="6">
        <v>0</v>
      </c>
      <c r="T54" s="6">
        <v>0</v>
      </c>
      <c r="U54" s="6">
        <v>0</v>
      </c>
      <c r="V54" s="6">
        <v>0</v>
      </c>
      <c r="W54" s="6">
        <v>4196</v>
      </c>
    </row>
    <row r="55" spans="1:23" ns3:dyDescent="0.2">
      <c r="A55" s="3" t="s">
        <v>261</v>
      </c>
      <c r="B55" s="4" t="s">
        <v>48</v>
      </c>
      <c r="C55" s="4" t="s">
        <v>25</v>
      </c>
      <c r="D55" s="5">
        <v>1094</v>
      </c>
      <c r="E55" s="3" t="s">
        <v>26</v>
      </c>
      <c r="F55" s="3" t="s">
        <v>262</v>
      </c>
      <c r="G55" s="4" t="s">
        <v>263</v>
      </c>
      <c r="H55" s="4"/>
      <c r="I55" s="4" t="s">
        <v>264</v>
      </c>
      <c r="J55" s="4" t="s">
        <v>265</v>
      </c>
      <c r="K55" s="4" t="str">
        <f t="shared" si="0"/>
        <v>Sep-2026</v>
      </c>
      <c r="L55" s="6">
        <v>3781</v>
      </c>
      <c r="M55" s="6">
        <v>500</v>
      </c>
      <c r="N55" s="6">
        <v>900</v>
      </c>
      <c r="O55" s="6">
        <v>0</v>
      </c>
      <c r="P55" s="6">
        <v>3411</v>
      </c>
      <c r="Q55" s="6">
        <v>3411</v>
      </c>
      <c r="R55" s="6">
        <v>0</v>
      </c>
      <c r="S55" s="6">
        <v>130</v>
      </c>
      <c r="T55" s="6">
        <v>0</v>
      </c>
      <c r="U55" s="6">
        <v>0</v>
      </c>
      <c r="V55" s="6">
        <v>0</v>
      </c>
      <c r="W55" s="6">
        <v>3541</v>
      </c>
    </row>
    <row r="56" spans="1:23" ns3:dyDescent="0.2">
      <c r="A56" s="3" t="s">
        <v>266</v>
      </c>
      <c r="B56" s="4" t="s">
        <v>48</v>
      </c>
      <c r="C56" s="4" t="s">
        <v>25</v>
      </c>
      <c r="D56" s="5">
        <v>1094</v>
      </c>
      <c r="E56" s="3" t="s">
        <v>26</v>
      </c>
      <c r="F56" s="3" t="s">
        <v>267</v>
      </c>
      <c r="G56" s="4" t="s">
        <v>268</v>
      </c>
      <c r="H56" s="4"/>
      <c r="I56" s="4" t="s">
        <v>269</v>
      </c>
      <c r="J56" s="4" t="s">
        <v>270</v>
      </c>
      <c r="K56" s="4" t="str">
        <f t="shared" si="0"/>
        <v>Sep-2026</v>
      </c>
      <c r="L56" s="6">
        <v>3731</v>
      </c>
      <c r="M56" s="6">
        <v>500</v>
      </c>
      <c r="N56" s="6">
        <v>700</v>
      </c>
      <c r="O56" s="6">
        <v>0</v>
      </c>
      <c r="P56" s="6">
        <v>3865</v>
      </c>
      <c r="Q56" s="6">
        <v>3865</v>
      </c>
      <c r="R56" s="6">
        <v>75</v>
      </c>
      <c r="S56" s="6">
        <v>65</v>
      </c>
      <c r="T56" s="6">
        <v>0</v>
      </c>
      <c r="U56" s="6">
        <v>0</v>
      </c>
      <c r="V56" s="6">
        <v>0</v>
      </c>
      <c r="W56" s="6">
        <v>4005</v>
      </c>
    </row>
    <row r="57" spans="1:23" ns3:dyDescent="0.2">
      <c r="A57" s="3" t="s">
        <v>271</v>
      </c>
      <c r="B57" s="4" t="s">
        <v>37</v>
      </c>
      <c r="C57" s="4" t="s">
        <v>25</v>
      </c>
      <c r="D57" s="5">
        <v>1094</v>
      </c>
      <c r="E57" s="3" t="s">
        <v>67</v>
      </c>
      <c r="F57" s="3" t="s">
        <v>67</v>
      </c>
      <c r="G57" s="4"/>
      <c r="H57" s="4"/>
      <c r="I57" s="4"/>
      <c r="J57" s="4"/>
      <c r="K57" s="4" t="str">
        <f t="shared" si="0"/>
        <v>Jan-1900</v>
      </c>
      <c r="L57" s="6">
        <v>4374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</row>
    <row r="58" spans="1:23" ns3:dyDescent="0.2">
      <c r="A58" s="3" t="s">
        <v>272</v>
      </c>
      <c r="B58" s="4" t="s">
        <v>37</v>
      </c>
      <c r="C58" s="4" t="s">
        <v>25</v>
      </c>
      <c r="D58" s="5">
        <v>1094</v>
      </c>
      <c r="E58" s="3" t="s">
        <v>26</v>
      </c>
      <c r="F58" s="3" t="s">
        <v>273</v>
      </c>
      <c r="G58" s="4" t="s">
        <v>274</v>
      </c>
      <c r="H58" s="4"/>
      <c r="I58" s="4" t="s">
        <v>274</v>
      </c>
      <c r="J58" s="4" t="s">
        <v>275</v>
      </c>
      <c r="K58" s="4" t="str">
        <f t="shared" si="0"/>
        <v>Sep-2026</v>
      </c>
      <c r="L58" s="6">
        <v>4374</v>
      </c>
      <c r="M58" s="6">
        <v>500</v>
      </c>
      <c r="N58" s="6">
        <v>500</v>
      </c>
      <c r="O58" s="6">
        <v>0</v>
      </c>
      <c r="P58" s="6">
        <v>4458</v>
      </c>
      <c r="Q58" s="6">
        <v>4458</v>
      </c>
      <c r="R58" s="6">
        <v>0</v>
      </c>
      <c r="S58" s="6">
        <v>65</v>
      </c>
      <c r="T58" s="6">
        <v>0</v>
      </c>
      <c r="U58" s="6">
        <v>0</v>
      </c>
      <c r="V58" s="6">
        <v>0</v>
      </c>
      <c r="W58" s="6">
        <v>4523</v>
      </c>
    </row>
    <row r="59" spans="1:23" ns3:dyDescent="0.2">
      <c r="A59" s="3" t="s">
        <v>276</v>
      </c>
      <c r="B59" s="4" t="s">
        <v>24</v>
      </c>
      <c r="C59" s="4" t="s">
        <v>25</v>
      </c>
      <c r="D59" s="5">
        <v>650</v>
      </c>
      <c r="E59" s="3" t="s">
        <v>26</v>
      </c>
      <c r="F59" s="3" t="s">
        <v>277</v>
      </c>
      <c r="G59" s="4" t="s">
        <v>278</v>
      </c>
      <c r="H59" s="4"/>
      <c r="I59" s="4" t="s">
        <v>279</v>
      </c>
      <c r="J59" s="4" t="s">
        <v>280</v>
      </c>
      <c r="K59" s="4" t="str">
        <f t="shared" si="0"/>
        <v>Apr-2026</v>
      </c>
      <c r="L59" s="6">
        <v>3207</v>
      </c>
      <c r="M59" s="6">
        <v>500</v>
      </c>
      <c r="N59" s="6">
        <v>500</v>
      </c>
      <c r="O59" s="6">
        <v>3532.42</v>
      </c>
      <c r="P59" s="6">
        <v>3116</v>
      </c>
      <c r="Q59" s="6">
        <v>3116</v>
      </c>
      <c r="R59" s="6">
        <v>150</v>
      </c>
      <c r="S59" s="6">
        <v>0</v>
      </c>
      <c r="T59" s="6">
        <v>0</v>
      </c>
      <c r="U59" s="6">
        <v>0</v>
      </c>
      <c r="V59" s="6">
        <v>0</v>
      </c>
      <c r="W59" s="6">
        <v>3266</v>
      </c>
    </row>
    <row r="60" spans="1:23" ns3:dyDescent="0.2">
      <c r="A60" s="3" t="s">
        <v>281</v>
      </c>
      <c r="B60" s="4" t="s">
        <v>24</v>
      </c>
      <c r="C60" s="4" t="s">
        <v>25</v>
      </c>
      <c r="D60" s="5">
        <v>650</v>
      </c>
      <c r="E60" s="3" t="s">
        <v>26</v>
      </c>
      <c r="F60" s="3" t="s">
        <v>282</v>
      </c>
      <c r="G60" s="4" t="s">
        <v>283</v>
      </c>
      <c r="H60" s="4"/>
      <c r="I60" s="4" t="s">
        <v>283</v>
      </c>
      <c r="J60" s="4" t="s">
        <v>284</v>
      </c>
      <c r="K60" s="4" t="str">
        <f t="shared" si="0"/>
        <v>May-2026</v>
      </c>
      <c r="L60" s="6">
        <v>3297</v>
      </c>
      <c r="M60" s="6">
        <v>500</v>
      </c>
      <c r="N60" s="6">
        <v>500</v>
      </c>
      <c r="O60" s="6">
        <v>0</v>
      </c>
      <c r="P60" s="6">
        <v>3158</v>
      </c>
      <c r="Q60" s="6">
        <v>3158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3158</v>
      </c>
    </row>
    <row r="61" spans="1:23" ns3:dyDescent="0.2">
      <c r="A61" s="3" t="s">
        <v>285</v>
      </c>
      <c r="B61" s="4" t="s">
        <v>24</v>
      </c>
      <c r="C61" s="4" t="s">
        <v>25</v>
      </c>
      <c r="D61" s="5">
        <v>650</v>
      </c>
      <c r="E61" s="3" t="s">
        <v>26</v>
      </c>
      <c r="F61" s="3" t="s">
        <v>286</v>
      </c>
      <c r="G61" s="4" t="s">
        <v>287</v>
      </c>
      <c r="H61" s="4"/>
      <c r="I61" s="4" t="s">
        <v>288</v>
      </c>
      <c r="J61" s="4" t="s">
        <v>289</v>
      </c>
      <c r="K61" s="4" t="str">
        <f t="shared" si="0"/>
        <v>Jan-2026</v>
      </c>
      <c r="L61" s="6">
        <v>3057</v>
      </c>
      <c r="M61" s="6">
        <v>500</v>
      </c>
      <c r="N61" s="6">
        <v>700</v>
      </c>
      <c r="O61" s="6">
        <v>2991.14</v>
      </c>
      <c r="P61" s="6">
        <v>2688</v>
      </c>
      <c r="Q61" s="6">
        <v>2688</v>
      </c>
      <c r="R61" s="6">
        <v>0</v>
      </c>
      <c r="S61" s="6">
        <v>65</v>
      </c>
      <c r="T61" s="6">
        <v>0</v>
      </c>
      <c r="U61" s="6">
        <v>0</v>
      </c>
      <c r="V61" s="6">
        <v>0</v>
      </c>
      <c r="W61" s="6">
        <v>2753</v>
      </c>
    </row>
    <row r="62" spans="1:23" ns3:dyDescent="0.2">
      <c r="A62" s="3" t="s">
        <v>290</v>
      </c>
      <c r="B62" s="4" t="s">
        <v>24</v>
      </c>
      <c r="C62" s="4" t="s">
        <v>25</v>
      </c>
      <c r="D62" s="5">
        <v>650</v>
      </c>
      <c r="E62" s="3" t="s">
        <v>26</v>
      </c>
      <c r="F62" s="3" t="s">
        <v>291</v>
      </c>
      <c r="G62" s="4" t="s">
        <v>292</v>
      </c>
      <c r="H62" s="4"/>
      <c r="I62" s="4" t="s">
        <v>292</v>
      </c>
      <c r="J62" s="4" t="s">
        <v>293</v>
      </c>
      <c r="K62" s="4" t="str">
        <f t="shared" si="0"/>
        <v>Aug-2025</v>
      </c>
      <c r="L62" s="6">
        <v>3082</v>
      </c>
      <c r="M62" s="6">
        <v>500</v>
      </c>
      <c r="N62" s="6">
        <v>500</v>
      </c>
      <c r="O62" s="6">
        <v>-72.58</v>
      </c>
      <c r="P62" s="6">
        <v>3032</v>
      </c>
      <c r="Q62" s="6">
        <v>3032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3032</v>
      </c>
    </row>
    <row r="63" spans="1:23" ns3:dyDescent="0.2">
      <c r="A63" s="3" t="s">
        <v>294</v>
      </c>
      <c r="B63" s="4" t="s">
        <v>24</v>
      </c>
      <c r="C63" s="4" t="s">
        <v>25</v>
      </c>
      <c r="D63" s="5">
        <v>650</v>
      </c>
      <c r="E63" s="3" t="s">
        <v>26</v>
      </c>
      <c r="F63" s="3" t="s">
        <v>295</v>
      </c>
      <c r="G63" s="4" t="s">
        <v>296</v>
      </c>
      <c r="H63" s="4"/>
      <c r="I63" s="4" t="s">
        <v>297</v>
      </c>
      <c r="J63" s="4" t="s">
        <v>298</v>
      </c>
      <c r="K63" s="4" t="str">
        <f t="shared" si="0"/>
        <v>Feb-2026</v>
      </c>
      <c r="L63" s="6">
        <v>3232</v>
      </c>
      <c r="M63" s="6">
        <v>300</v>
      </c>
      <c r="N63" s="6">
        <v>300</v>
      </c>
      <c r="O63" s="6">
        <v>0</v>
      </c>
      <c r="P63" s="6">
        <v>2819</v>
      </c>
      <c r="Q63" s="6">
        <v>2819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2819</v>
      </c>
    </row>
    <row r="64" spans="1:23" ns3:dyDescent="0.2">
      <c r="A64" s="3" t="s">
        <v>299</v>
      </c>
      <c r="B64" s="4" t="s">
        <v>24</v>
      </c>
      <c r="C64" s="4" t="s">
        <v>25</v>
      </c>
      <c r="D64" s="5">
        <v>650</v>
      </c>
      <c r="E64" s="3" t="s">
        <v>147</v>
      </c>
      <c r="F64" s="3" t="s">
        <v>300</v>
      </c>
      <c r="G64" s="4" t="s">
        <v>116</v>
      </c>
      <c r="H64" s="4" t="s">
        <v>301</v>
      </c>
      <c r="I64" s="4" t="s">
        <v>116</v>
      </c>
      <c r="J64" s="4" t="s">
        <v>302</v>
      </c>
      <c r="K64" s="4" t="str">
        <f t="shared" si="0"/>
        <v>Jun-2025</v>
      </c>
      <c r="L64" s="6">
        <v>3207</v>
      </c>
      <c r="M64" s="6">
        <v>500</v>
      </c>
      <c r="N64" s="6">
        <v>500</v>
      </c>
      <c r="O64" s="6">
        <v>4500.16</v>
      </c>
      <c r="P64" s="6">
        <v>3901</v>
      </c>
      <c r="Q64" s="6">
        <v>3901</v>
      </c>
      <c r="R64" s="6">
        <v>75</v>
      </c>
      <c r="S64" s="6">
        <v>0</v>
      </c>
      <c r="T64" s="6">
        <v>0</v>
      </c>
      <c r="U64" s="6">
        <v>0</v>
      </c>
      <c r="V64" s="6">
        <v>0</v>
      </c>
      <c r="W64" s="6">
        <v>3976</v>
      </c>
    </row>
    <row r="65" spans="1:23" ns3:dyDescent="0.2">
      <c r="A65" s="3" t="s">
        <v>303</v>
      </c>
      <c r="B65" s="4" t="s">
        <v>37</v>
      </c>
      <c r="C65" s="4" t="s">
        <v>25</v>
      </c>
      <c r="D65" s="5">
        <v>1094</v>
      </c>
      <c r="E65" s="3" t="s">
        <v>26</v>
      </c>
      <c r="F65" s="3" t="s">
        <v>304</v>
      </c>
      <c r="G65" s="4" t="s">
        <v>305</v>
      </c>
      <c r="H65" s="4"/>
      <c r="I65" s="4" t="s">
        <v>306</v>
      </c>
      <c r="J65" s="4" t="s">
        <v>232</v>
      </c>
      <c r="K65" s="4" t="str">
        <f t="shared" si="0"/>
        <v>May-2026</v>
      </c>
      <c r="L65" s="6">
        <v>4424</v>
      </c>
      <c r="M65" s="6">
        <v>500</v>
      </c>
      <c r="N65" s="6">
        <v>700</v>
      </c>
      <c r="O65" s="6">
        <v>5177.03</v>
      </c>
      <c r="P65" s="6">
        <v>4501</v>
      </c>
      <c r="Q65" s="6">
        <v>4501</v>
      </c>
      <c r="R65" s="6">
        <v>225</v>
      </c>
      <c r="S65" s="6">
        <v>65</v>
      </c>
      <c r="T65" s="6">
        <v>0</v>
      </c>
      <c r="U65" s="6">
        <v>0</v>
      </c>
      <c r="V65" s="6">
        <v>0</v>
      </c>
      <c r="W65" s="6">
        <v>4791</v>
      </c>
    </row>
    <row r="66" spans="1:23" ns3:dyDescent="0.2">
      <c r="A66" s="3" t="s">
        <v>307</v>
      </c>
      <c r="B66" s="4" t="s">
        <v>37</v>
      </c>
      <c r="C66" s="4" t="s">
        <v>25</v>
      </c>
      <c r="D66" s="5">
        <v>1094</v>
      </c>
      <c r="E66" s="3" t="s">
        <v>26</v>
      </c>
      <c r="F66" s="3" t="s">
        <v>308</v>
      </c>
      <c r="G66" s="4" t="s">
        <v>309</v>
      </c>
      <c r="H66" s="4"/>
      <c r="I66" s="4" t="s">
        <v>309</v>
      </c>
      <c r="J66" s="4" t="s">
        <v>264</v>
      </c>
      <c r="K66" s="4" t="str">
        <f t="shared" si="0"/>
        <v>Apr-2025</v>
      </c>
      <c r="L66" s="6">
        <v>4299</v>
      </c>
      <c r="M66" s="6">
        <v>500</v>
      </c>
      <c r="N66" s="6">
        <v>500</v>
      </c>
      <c r="O66" s="6">
        <v>4672.3100000000004</v>
      </c>
      <c r="P66" s="6">
        <v>4033</v>
      </c>
      <c r="Q66" s="6">
        <v>4033</v>
      </c>
      <c r="R66" s="6">
        <v>225</v>
      </c>
      <c r="S66" s="6">
        <v>0</v>
      </c>
      <c r="T66" s="6">
        <v>0</v>
      </c>
      <c r="U66" s="6">
        <v>0</v>
      </c>
      <c r="V66" s="6">
        <v>0</v>
      </c>
      <c r="W66" s="6">
        <v>4258</v>
      </c>
    </row>
    <row r="67" spans="1:23" ns3:dyDescent="0.2">
      <c r="A67" s="3" t="s">
        <v>310</v>
      </c>
      <c r="B67" s="4" t="s">
        <v>37</v>
      </c>
      <c r="C67" s="4" t="s">
        <v>25</v>
      </c>
      <c r="D67" s="5">
        <v>1094</v>
      </c>
      <c r="E67" s="3" t="s">
        <v>26</v>
      </c>
      <c r="F67" s="3" t="s">
        <v>311</v>
      </c>
      <c r="G67" s="4" t="s">
        <v>312</v>
      </c>
      <c r="H67" s="4"/>
      <c r="I67" s="4" t="s">
        <v>312</v>
      </c>
      <c r="J67" s="4" t="s">
        <v>313</v>
      </c>
      <c r="K67" s="4" t="str">
        <f t="shared" ref="K67:K103" si="1">TEXT(J67,"mmm-yyyy")</f>
        <v>Dec-2025</v>
      </c>
      <c r="L67" s="6">
        <v>4424</v>
      </c>
      <c r="M67" s="6">
        <v>2513</v>
      </c>
      <c r="N67" s="6">
        <v>2513</v>
      </c>
      <c r="O67" s="6">
        <v>4630.16</v>
      </c>
      <c r="P67" s="6">
        <v>4026</v>
      </c>
      <c r="Q67" s="6">
        <v>4026</v>
      </c>
      <c r="R67" s="6">
        <v>225</v>
      </c>
      <c r="S67" s="6">
        <v>0</v>
      </c>
      <c r="T67" s="6">
        <v>0</v>
      </c>
      <c r="U67" s="6">
        <v>0</v>
      </c>
      <c r="V67" s="6">
        <v>0</v>
      </c>
      <c r="W67" s="6">
        <v>4251</v>
      </c>
    </row>
    <row r="68" spans="1:23" ns3:dyDescent="0.2">
      <c r="A68" s="3" t="s">
        <v>314</v>
      </c>
      <c r="B68" s="4" t="s">
        <v>37</v>
      </c>
      <c r="C68" s="4" t="s">
        <v>25</v>
      </c>
      <c r="D68" s="5">
        <v>1094</v>
      </c>
      <c r="E68" s="3" t="s">
        <v>26</v>
      </c>
      <c r="F68" s="3" t="s">
        <v>315</v>
      </c>
      <c r="G68" s="4" t="s">
        <v>316</v>
      </c>
      <c r="H68" s="4"/>
      <c r="I68" s="4" t="s">
        <v>317</v>
      </c>
      <c r="J68" s="4" t="s">
        <v>318</v>
      </c>
      <c r="K68" s="4" t="str">
        <f t="shared" si="1"/>
        <v>Jan-2026</v>
      </c>
      <c r="L68" s="6">
        <v>4424</v>
      </c>
      <c r="M68" s="6">
        <v>500</v>
      </c>
      <c r="N68" s="6">
        <v>500</v>
      </c>
      <c r="O68" s="6">
        <v>0</v>
      </c>
      <c r="P68" s="6">
        <v>3978</v>
      </c>
      <c r="Q68" s="6">
        <v>3978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3978</v>
      </c>
    </row>
    <row r="69" spans="1:23" ns3:dyDescent="0.2">
      <c r="A69" s="3" t="s">
        <v>319</v>
      </c>
      <c r="B69" s="4" t="s">
        <v>48</v>
      </c>
      <c r="C69" s="4" t="s">
        <v>25</v>
      </c>
      <c r="D69" s="5">
        <v>1094</v>
      </c>
      <c r="E69" s="3" t="s">
        <v>26</v>
      </c>
      <c r="F69" s="3" t="s">
        <v>320</v>
      </c>
      <c r="G69" s="4" t="s">
        <v>321</v>
      </c>
      <c r="H69" s="4"/>
      <c r="I69" s="4" t="s">
        <v>34</v>
      </c>
      <c r="J69" s="4" t="s">
        <v>35</v>
      </c>
      <c r="K69" s="4" t="str">
        <f t="shared" si="1"/>
        <v>Apr-2026</v>
      </c>
      <c r="L69" s="6">
        <v>3906</v>
      </c>
      <c r="M69" s="6">
        <v>300</v>
      </c>
      <c r="N69" s="6">
        <v>300</v>
      </c>
      <c r="O69" s="6">
        <v>-3992.84</v>
      </c>
      <c r="P69" s="6">
        <v>3530</v>
      </c>
      <c r="Q69" s="6">
        <v>3530</v>
      </c>
      <c r="R69" s="6">
        <v>75</v>
      </c>
      <c r="S69" s="6">
        <v>0</v>
      </c>
      <c r="T69" s="6">
        <v>0</v>
      </c>
      <c r="U69" s="6">
        <v>0</v>
      </c>
      <c r="V69" s="6">
        <v>0</v>
      </c>
      <c r="W69" s="6">
        <v>3605</v>
      </c>
    </row>
    <row r="70" spans="1:23" ns3:dyDescent="0.2">
      <c r="A70" s="3" t="s">
        <v>322</v>
      </c>
      <c r="B70" s="4" t="s">
        <v>48</v>
      </c>
      <c r="C70" s="4" t="s">
        <v>25</v>
      </c>
      <c r="D70" s="5">
        <v>1094</v>
      </c>
      <c r="E70" s="3" t="s">
        <v>26</v>
      </c>
      <c r="F70" s="3" t="s">
        <v>323</v>
      </c>
      <c r="G70" s="4" t="s">
        <v>324</v>
      </c>
      <c r="H70" s="4"/>
      <c r="I70" s="4" t="s">
        <v>324</v>
      </c>
      <c r="J70" s="4" t="s">
        <v>325</v>
      </c>
      <c r="K70" s="4" t="str">
        <f t="shared" si="1"/>
        <v>Jun-2026</v>
      </c>
      <c r="L70" s="6">
        <v>3856</v>
      </c>
      <c r="M70" s="6">
        <v>500</v>
      </c>
      <c r="N70" s="6">
        <v>700</v>
      </c>
      <c r="O70" s="6">
        <v>0</v>
      </c>
      <c r="P70" s="6">
        <v>3940</v>
      </c>
      <c r="Q70" s="6">
        <v>3940</v>
      </c>
      <c r="R70" s="6">
        <v>0</v>
      </c>
      <c r="S70" s="6">
        <v>65</v>
      </c>
      <c r="T70" s="6">
        <v>0</v>
      </c>
      <c r="U70" s="6">
        <v>0</v>
      </c>
      <c r="V70" s="6">
        <v>0</v>
      </c>
      <c r="W70" s="6">
        <v>4005</v>
      </c>
    </row>
    <row r="71" spans="1:23" ns3:dyDescent="0.2">
      <c r="A71" s="3" t="s">
        <v>326</v>
      </c>
      <c r="B71" s="4" t="s">
        <v>48</v>
      </c>
      <c r="C71" s="4" t="s">
        <v>25</v>
      </c>
      <c r="D71" s="5">
        <v>1094</v>
      </c>
      <c r="E71" s="3" t="s">
        <v>26</v>
      </c>
      <c r="F71" s="3" t="s">
        <v>327</v>
      </c>
      <c r="G71" s="4" t="s">
        <v>328</v>
      </c>
      <c r="H71" s="4"/>
      <c r="I71" s="4" t="s">
        <v>328</v>
      </c>
      <c r="J71" s="4" t="s">
        <v>329</v>
      </c>
      <c r="K71" s="4" t="str">
        <f t="shared" si="1"/>
        <v>Apr-2026</v>
      </c>
      <c r="L71" s="6">
        <v>3856</v>
      </c>
      <c r="M71" s="6">
        <v>900</v>
      </c>
      <c r="N71" s="6">
        <v>1100</v>
      </c>
      <c r="O71" s="6">
        <v>0</v>
      </c>
      <c r="P71" s="6">
        <v>3753</v>
      </c>
      <c r="Q71" s="6">
        <v>3753</v>
      </c>
      <c r="R71" s="6">
        <v>0</v>
      </c>
      <c r="S71" s="6">
        <v>65</v>
      </c>
      <c r="T71" s="6">
        <v>0</v>
      </c>
      <c r="U71" s="6">
        <v>0</v>
      </c>
      <c r="V71" s="6">
        <v>0</v>
      </c>
      <c r="W71" s="6">
        <v>3818</v>
      </c>
    </row>
    <row r="72" spans="1:23" ns3:dyDescent="0.2">
      <c r="A72" s="3" t="s">
        <v>330</v>
      </c>
      <c r="B72" s="4" t="s">
        <v>48</v>
      </c>
      <c r="C72" s="4" t="s">
        <v>25</v>
      </c>
      <c r="D72" s="5">
        <v>1094</v>
      </c>
      <c r="E72" s="3" t="s">
        <v>26</v>
      </c>
      <c r="F72" s="3" t="s">
        <v>331</v>
      </c>
      <c r="G72" s="4" t="s">
        <v>324</v>
      </c>
      <c r="H72" s="4"/>
      <c r="I72" s="4" t="s">
        <v>324</v>
      </c>
      <c r="J72" s="4" t="s">
        <v>325</v>
      </c>
      <c r="K72" s="4" t="str">
        <f t="shared" si="1"/>
        <v>Jun-2026</v>
      </c>
      <c r="L72" s="6">
        <v>3731</v>
      </c>
      <c r="M72" s="6">
        <v>500</v>
      </c>
      <c r="N72" s="6">
        <v>700</v>
      </c>
      <c r="O72" s="6">
        <v>4204.47</v>
      </c>
      <c r="P72" s="6">
        <v>3875</v>
      </c>
      <c r="Q72" s="6">
        <v>3875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3875</v>
      </c>
    </row>
    <row r="73" spans="1:23" ns3:dyDescent="0.2">
      <c r="A73" s="3" t="s">
        <v>332</v>
      </c>
      <c r="B73" s="4" t="s">
        <v>37</v>
      </c>
      <c r="C73" s="4" t="s">
        <v>25</v>
      </c>
      <c r="D73" s="5">
        <v>1094</v>
      </c>
      <c r="E73" s="3" t="s">
        <v>67</v>
      </c>
      <c r="F73" s="3" t="s">
        <v>67</v>
      </c>
      <c r="G73" s="4"/>
      <c r="H73" s="4"/>
      <c r="I73" s="4"/>
      <c r="J73" s="4"/>
      <c r="K73" s="4" t="str">
        <f t="shared" si="1"/>
        <v>Jan-1900</v>
      </c>
      <c r="L73" s="6">
        <v>4374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</row>
    <row r="74" spans="1:23" ns3:dyDescent="0.2">
      <c r="A74" s="3" t="s">
        <v>333</v>
      </c>
      <c r="B74" s="4" t="s">
        <v>37</v>
      </c>
      <c r="C74" s="4" t="s">
        <v>25</v>
      </c>
      <c r="D74" s="5">
        <v>1094</v>
      </c>
      <c r="E74" s="3" t="s">
        <v>26</v>
      </c>
      <c r="F74" s="3" t="s">
        <v>334</v>
      </c>
      <c r="G74" s="4" t="s">
        <v>335</v>
      </c>
      <c r="H74" s="4"/>
      <c r="I74" s="4" t="s">
        <v>336</v>
      </c>
      <c r="J74" s="4" t="s">
        <v>337</v>
      </c>
      <c r="K74" s="4" t="str">
        <f t="shared" si="1"/>
        <v>Mar-2024</v>
      </c>
      <c r="L74" s="6">
        <v>4249</v>
      </c>
      <c r="M74" s="6">
        <v>700</v>
      </c>
      <c r="N74" s="6">
        <v>700</v>
      </c>
      <c r="O74" s="6">
        <v>4310.25</v>
      </c>
      <c r="P74" s="6">
        <v>4040</v>
      </c>
      <c r="Q74" s="6">
        <v>4040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4040</v>
      </c>
    </row>
    <row r="75" spans="1:23" ns3:dyDescent="0.2">
      <c r="A75" s="3" t="s">
        <v>338</v>
      </c>
      <c r="B75" s="4" t="s">
        <v>37</v>
      </c>
      <c r="C75" s="4" t="s">
        <v>38</v>
      </c>
      <c r="D75" s="5">
        <v>1094</v>
      </c>
      <c r="E75" s="3" t="s">
        <v>26</v>
      </c>
      <c r="F75" s="3" t="s">
        <v>339</v>
      </c>
      <c r="G75" s="4" t="s">
        <v>340</v>
      </c>
      <c r="H75" s="4"/>
      <c r="I75" s="4" t="s">
        <v>340</v>
      </c>
      <c r="J75" s="4" t="s">
        <v>341</v>
      </c>
      <c r="K75" s="4" t="str">
        <f t="shared" si="1"/>
        <v>Jan-2026</v>
      </c>
      <c r="L75" s="6">
        <v>4374</v>
      </c>
      <c r="M75" s="6">
        <v>500</v>
      </c>
      <c r="N75" s="6">
        <v>500</v>
      </c>
      <c r="O75" s="6">
        <v>1755.4</v>
      </c>
      <c r="P75" s="6">
        <v>4233</v>
      </c>
      <c r="Q75" s="6">
        <v>4233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4233</v>
      </c>
    </row>
    <row r="76" spans="1:23" ns3:dyDescent="0.2">
      <c r="A76" s="3" t="s">
        <v>342</v>
      </c>
      <c r="B76" s="4" t="s">
        <v>103</v>
      </c>
      <c r="C76" s="4" t="s">
        <v>25</v>
      </c>
      <c r="D76" s="5">
        <v>1054</v>
      </c>
      <c r="E76" s="3" t="s">
        <v>26</v>
      </c>
      <c r="F76" s="3" t="s">
        <v>343</v>
      </c>
      <c r="G76" s="4" t="s">
        <v>344</v>
      </c>
      <c r="H76" s="4"/>
      <c r="I76" s="4" t="s">
        <v>344</v>
      </c>
      <c r="J76" s="4" t="s">
        <v>176</v>
      </c>
      <c r="K76" s="4" t="str">
        <f t="shared" si="1"/>
        <v>Aug-2026</v>
      </c>
      <c r="L76" s="6">
        <v>3609</v>
      </c>
      <c r="M76" s="6">
        <v>500</v>
      </c>
      <c r="N76" s="6">
        <v>500</v>
      </c>
      <c r="O76" s="6">
        <v>0</v>
      </c>
      <c r="P76" s="6">
        <v>3557</v>
      </c>
      <c r="Q76" s="6">
        <v>3557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3557</v>
      </c>
    </row>
    <row r="77" spans="1:23" ns3:dyDescent="0.2">
      <c r="A77" s="3" t="s">
        <v>345</v>
      </c>
      <c r="B77" s="4" t="s">
        <v>103</v>
      </c>
      <c r="C77" s="4" t="s">
        <v>25</v>
      </c>
      <c r="D77" s="5">
        <v>1054</v>
      </c>
      <c r="E77" s="3" t="s">
        <v>26</v>
      </c>
      <c r="F77" s="3" t="s">
        <v>346</v>
      </c>
      <c r="G77" s="4" t="s">
        <v>312</v>
      </c>
      <c r="H77" s="4"/>
      <c r="I77" s="4" t="s">
        <v>312</v>
      </c>
      <c r="J77" s="4" t="s">
        <v>347</v>
      </c>
      <c r="K77" s="4" t="str">
        <f t="shared" si="1"/>
        <v>Dec-2025</v>
      </c>
      <c r="L77" s="6">
        <v>3699</v>
      </c>
      <c r="M77" s="6">
        <v>500</v>
      </c>
      <c r="N77" s="6">
        <v>500</v>
      </c>
      <c r="O77" s="6">
        <v>3928.78</v>
      </c>
      <c r="P77" s="6">
        <v>3584</v>
      </c>
      <c r="Q77" s="6">
        <v>3584</v>
      </c>
      <c r="R77" s="6">
        <v>75</v>
      </c>
      <c r="S77" s="6">
        <v>0</v>
      </c>
      <c r="T77" s="6">
        <v>0</v>
      </c>
      <c r="U77" s="6">
        <v>0</v>
      </c>
      <c r="V77" s="6">
        <v>0</v>
      </c>
      <c r="W77" s="6">
        <v>3659</v>
      </c>
    </row>
    <row r="78" spans="1:23" ns3:dyDescent="0.2">
      <c r="A78" s="3" t="s">
        <v>348</v>
      </c>
      <c r="B78" s="4" t="s">
        <v>37</v>
      </c>
      <c r="C78" s="4" t="s">
        <v>25</v>
      </c>
      <c r="D78" s="5">
        <v>1094</v>
      </c>
      <c r="E78" s="3" t="s">
        <v>26</v>
      </c>
      <c r="F78" s="3" t="s">
        <v>349</v>
      </c>
      <c r="G78" s="4" t="s">
        <v>350</v>
      </c>
      <c r="H78" s="4"/>
      <c r="I78" s="4" t="s">
        <v>351</v>
      </c>
      <c r="J78" s="4" t="s">
        <v>352</v>
      </c>
      <c r="K78" s="4" t="str">
        <f t="shared" si="1"/>
        <v>May-2026</v>
      </c>
      <c r="L78" s="6">
        <v>4249</v>
      </c>
      <c r="M78" s="6">
        <v>500</v>
      </c>
      <c r="N78" s="6">
        <v>700</v>
      </c>
      <c r="O78" s="6">
        <v>5102.75</v>
      </c>
      <c r="P78" s="6">
        <v>4305</v>
      </c>
      <c r="Q78" s="6">
        <v>4305</v>
      </c>
      <c r="R78" s="6">
        <v>375</v>
      </c>
      <c r="S78" s="6">
        <v>65</v>
      </c>
      <c r="T78" s="6">
        <v>0</v>
      </c>
      <c r="U78" s="6">
        <v>0</v>
      </c>
      <c r="V78" s="6">
        <v>0</v>
      </c>
      <c r="W78" s="6">
        <v>4745</v>
      </c>
    </row>
    <row r="79" spans="1:23" ns3:dyDescent="0.2">
      <c r="A79" s="3" t="s">
        <v>353</v>
      </c>
      <c r="B79" s="4" t="s">
        <v>37</v>
      </c>
      <c r="C79" s="4" t="s">
        <v>25</v>
      </c>
      <c r="D79" s="5">
        <v>1094</v>
      </c>
      <c r="E79" s="3" t="s">
        <v>26</v>
      </c>
      <c r="F79" s="3" t="s">
        <v>354</v>
      </c>
      <c r="G79" s="4" t="s">
        <v>355</v>
      </c>
      <c r="H79" s="4"/>
      <c r="I79" s="4" t="s">
        <v>355</v>
      </c>
      <c r="J79" s="4" t="s">
        <v>356</v>
      </c>
      <c r="K79" s="4" t="str">
        <f t="shared" si="1"/>
        <v>Jul-2025</v>
      </c>
      <c r="L79" s="6">
        <v>4374</v>
      </c>
      <c r="M79" s="6">
        <v>4184</v>
      </c>
      <c r="N79" s="6">
        <v>4184</v>
      </c>
      <c r="O79" s="6">
        <v>7058.36</v>
      </c>
      <c r="P79" s="6">
        <v>4008</v>
      </c>
      <c r="Q79" s="6">
        <v>4008</v>
      </c>
      <c r="R79" s="6">
        <v>75</v>
      </c>
      <c r="S79" s="6">
        <v>0</v>
      </c>
      <c r="T79" s="6">
        <v>0</v>
      </c>
      <c r="U79" s="6">
        <v>0</v>
      </c>
      <c r="V79" s="6">
        <v>0</v>
      </c>
      <c r="W79" s="6">
        <v>4083</v>
      </c>
    </row>
    <row r="80" spans="1:23" ns3:dyDescent="0.2">
      <c r="A80" s="3" t="s">
        <v>357</v>
      </c>
      <c r="B80" s="4" t="s">
        <v>37</v>
      </c>
      <c r="C80" s="4" t="s">
        <v>25</v>
      </c>
      <c r="D80" s="5">
        <v>1094</v>
      </c>
      <c r="E80" s="3" t="s">
        <v>26</v>
      </c>
      <c r="F80" s="3" t="s">
        <v>358</v>
      </c>
      <c r="G80" s="4" t="s">
        <v>359</v>
      </c>
      <c r="H80" s="4"/>
      <c r="I80" s="4" t="s">
        <v>360</v>
      </c>
      <c r="J80" s="4" t="s">
        <v>361</v>
      </c>
      <c r="K80" s="4" t="str">
        <f t="shared" si="1"/>
        <v>Apr-2026</v>
      </c>
      <c r="L80" s="6">
        <v>4374</v>
      </c>
      <c r="M80" s="6">
        <v>700</v>
      </c>
      <c r="N80" s="6">
        <v>1400</v>
      </c>
      <c r="O80" s="6">
        <v>4551.47</v>
      </c>
      <c r="P80" s="6">
        <v>4072</v>
      </c>
      <c r="Q80" s="6">
        <v>4072</v>
      </c>
      <c r="R80" s="6">
        <v>150</v>
      </c>
      <c r="S80" s="6">
        <v>0</v>
      </c>
      <c r="T80" s="6">
        <v>0</v>
      </c>
      <c r="U80" s="6">
        <v>0</v>
      </c>
      <c r="V80" s="6">
        <v>0</v>
      </c>
      <c r="W80" s="6">
        <v>4222</v>
      </c>
    </row>
    <row r="81" spans="1:23" ns3:dyDescent="0.2">
      <c r="A81" s="3" t="s">
        <v>362</v>
      </c>
      <c r="B81" s="4" t="s">
        <v>103</v>
      </c>
      <c r="C81" s="4" t="s">
        <v>25</v>
      </c>
      <c r="D81" s="5">
        <v>1054</v>
      </c>
      <c r="E81" s="3" t="s">
        <v>26</v>
      </c>
      <c r="F81" s="3" t="s">
        <v>363</v>
      </c>
      <c r="G81" s="4" t="s">
        <v>364</v>
      </c>
      <c r="H81" s="4"/>
      <c r="I81" s="4" t="s">
        <v>365</v>
      </c>
      <c r="J81" s="4" t="s">
        <v>366</v>
      </c>
      <c r="K81" s="4" t="str">
        <f t="shared" si="1"/>
        <v>Sep-2026</v>
      </c>
      <c r="L81" s="6">
        <v>3709</v>
      </c>
      <c r="M81" s="6">
        <v>500</v>
      </c>
      <c r="N81" s="6">
        <v>500</v>
      </c>
      <c r="O81" s="6">
        <v>4000.34</v>
      </c>
      <c r="P81" s="6">
        <v>3449</v>
      </c>
      <c r="Q81" s="6">
        <v>3449</v>
      </c>
      <c r="R81" s="6">
        <v>225</v>
      </c>
      <c r="S81" s="6">
        <v>0</v>
      </c>
      <c r="T81" s="6">
        <v>0</v>
      </c>
      <c r="U81" s="6">
        <v>0</v>
      </c>
      <c r="V81" s="6">
        <v>0</v>
      </c>
      <c r="W81" s="6">
        <v>3674</v>
      </c>
    </row>
    <row r="82" spans="1:23" ns3:dyDescent="0.2">
      <c r="A82" s="3" t="s">
        <v>367</v>
      </c>
      <c r="B82" s="4" t="s">
        <v>103</v>
      </c>
      <c r="C82" s="4" t="s">
        <v>25</v>
      </c>
      <c r="D82" s="5">
        <v>1054</v>
      </c>
      <c r="E82" s="3" t="s">
        <v>26</v>
      </c>
      <c r="F82" s="3" t="s">
        <v>368</v>
      </c>
      <c r="G82" s="4" t="s">
        <v>268</v>
      </c>
      <c r="H82" s="4"/>
      <c r="I82" s="4" t="s">
        <v>369</v>
      </c>
      <c r="J82" s="4" t="s">
        <v>370</v>
      </c>
      <c r="K82" s="4" t="str">
        <f t="shared" si="1"/>
        <v>Nov-2025</v>
      </c>
      <c r="L82" s="6">
        <v>3599</v>
      </c>
      <c r="M82" s="6">
        <v>500</v>
      </c>
      <c r="N82" s="6">
        <v>500</v>
      </c>
      <c r="O82" s="6">
        <v>0</v>
      </c>
      <c r="P82" s="6">
        <v>3722</v>
      </c>
      <c r="Q82" s="6">
        <v>3722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3722</v>
      </c>
    </row>
    <row r="83" spans="1:23" ns3:dyDescent="0.2">
      <c r="A83" s="3" t="s">
        <v>371</v>
      </c>
      <c r="B83" s="4" t="s">
        <v>37</v>
      </c>
      <c r="C83" s="4" t="s">
        <v>25</v>
      </c>
      <c r="D83" s="5">
        <v>1094</v>
      </c>
      <c r="E83" s="3" t="s">
        <v>372</v>
      </c>
      <c r="F83" s="3" t="s">
        <v>67</v>
      </c>
      <c r="G83" s="4"/>
      <c r="H83" s="4"/>
      <c r="I83" s="4"/>
      <c r="J83" s="4"/>
      <c r="K83" s="4" t="str">
        <f t="shared" si="1"/>
        <v>Jan-1900</v>
      </c>
      <c r="L83" s="6">
        <v>4449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</row>
    <row r="84" spans="1:23" ns3:dyDescent="0.2">
      <c r="A84" s="3" t="s">
        <v>371</v>
      </c>
      <c r="B84" s="4" t="s">
        <v>37</v>
      </c>
      <c r="C84" s="4" t="s">
        <v>25</v>
      </c>
      <c r="D84" s="5">
        <v>1094</v>
      </c>
      <c r="E84" s="3" t="s">
        <v>373</v>
      </c>
      <c r="F84" s="3" t="s">
        <v>374</v>
      </c>
      <c r="G84" s="4" t="s">
        <v>165</v>
      </c>
      <c r="H84" s="4"/>
      <c r="I84" s="4" t="s">
        <v>165</v>
      </c>
      <c r="J84" s="4" t="s">
        <v>87</v>
      </c>
      <c r="K84" s="4" t="str">
        <f t="shared" si="1"/>
        <v>Mar-2027</v>
      </c>
      <c r="L84" s="6">
        <v>0</v>
      </c>
      <c r="M84" s="6">
        <v>500</v>
      </c>
      <c r="N84" s="6">
        <v>500</v>
      </c>
      <c r="O84" s="6">
        <v>0</v>
      </c>
      <c r="P84" s="6">
        <v>4449</v>
      </c>
      <c r="Q84" s="6">
        <v>4449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4449</v>
      </c>
    </row>
    <row r="85" spans="1:23" ns3:dyDescent="0.2">
      <c r="A85" s="3" t="s">
        <v>375</v>
      </c>
      <c r="B85" s="4" t="s">
        <v>37</v>
      </c>
      <c r="C85" s="4" t="s">
        <v>25</v>
      </c>
      <c r="D85" s="5">
        <v>1094</v>
      </c>
      <c r="E85" s="3" t="s">
        <v>26</v>
      </c>
      <c r="F85" s="3" t="s">
        <v>376</v>
      </c>
      <c r="G85" s="4" t="s">
        <v>377</v>
      </c>
      <c r="H85" s="4"/>
      <c r="I85" s="4" t="s">
        <v>306</v>
      </c>
      <c r="J85" s="4" t="s">
        <v>378</v>
      </c>
      <c r="K85" s="4" t="str">
        <f t="shared" si="1"/>
        <v>May-2026</v>
      </c>
      <c r="L85" s="6">
        <v>4324</v>
      </c>
      <c r="M85" s="6">
        <v>700</v>
      </c>
      <c r="N85" s="6">
        <v>700</v>
      </c>
      <c r="O85" s="6">
        <v>4686.03</v>
      </c>
      <c r="P85" s="6">
        <v>4185</v>
      </c>
      <c r="Q85" s="6">
        <v>4185</v>
      </c>
      <c r="R85" s="6">
        <v>0</v>
      </c>
      <c r="S85" s="6">
        <v>65</v>
      </c>
      <c r="T85" s="6">
        <v>0</v>
      </c>
      <c r="U85" s="6">
        <v>0</v>
      </c>
      <c r="V85" s="6">
        <v>0</v>
      </c>
      <c r="W85" s="6">
        <v>4250</v>
      </c>
    </row>
    <row r="86" spans="1:23" ns3:dyDescent="0.2">
      <c r="A86" s="3" t="s">
        <v>379</v>
      </c>
      <c r="B86" s="4" t="s">
        <v>37</v>
      </c>
      <c r="C86" s="4" t="s">
        <v>25</v>
      </c>
      <c r="D86" s="5">
        <v>1094</v>
      </c>
      <c r="E86" s="3" t="s">
        <v>147</v>
      </c>
      <c r="F86" s="3" t="s">
        <v>380</v>
      </c>
      <c r="G86" s="4" t="s">
        <v>381</v>
      </c>
      <c r="H86" s="4" t="s">
        <v>382</v>
      </c>
      <c r="I86" s="4" t="s">
        <v>259</v>
      </c>
      <c r="J86" s="4" t="s">
        <v>383</v>
      </c>
      <c r="K86" s="4" t="str">
        <f t="shared" si="1"/>
        <v>Sep-2025</v>
      </c>
      <c r="L86" s="6">
        <v>4324</v>
      </c>
      <c r="M86" s="6">
        <v>500</v>
      </c>
      <c r="N86" s="6">
        <v>500</v>
      </c>
      <c r="O86" s="6">
        <v>0</v>
      </c>
      <c r="P86" s="6">
        <v>4542</v>
      </c>
      <c r="Q86" s="6">
        <v>4542</v>
      </c>
      <c r="R86" s="6">
        <v>75</v>
      </c>
      <c r="S86" s="6">
        <v>0</v>
      </c>
      <c r="T86" s="6">
        <v>0</v>
      </c>
      <c r="U86" s="6">
        <v>0</v>
      </c>
      <c r="V86" s="6">
        <v>0</v>
      </c>
      <c r="W86" s="6">
        <v>4617</v>
      </c>
    </row>
    <row r="87" spans="1:23" ns3:dyDescent="0.2">
      <c r="A87" s="3" t="s">
        <v>384</v>
      </c>
      <c r="B87" s="4" t="s">
        <v>37</v>
      </c>
      <c r="C87" s="4" t="s">
        <v>25</v>
      </c>
      <c r="D87" s="5">
        <v>1094</v>
      </c>
      <c r="E87" s="3" t="s">
        <v>26</v>
      </c>
      <c r="F87" s="3" t="s">
        <v>385</v>
      </c>
      <c r="G87" s="4" t="s">
        <v>386</v>
      </c>
      <c r="H87" s="4"/>
      <c r="I87" s="4" t="s">
        <v>387</v>
      </c>
      <c r="J87" s="4" t="s">
        <v>388</v>
      </c>
      <c r="K87" s="4" t="str">
        <f t="shared" si="1"/>
        <v>Aug-2026</v>
      </c>
      <c r="L87" s="6">
        <v>4324</v>
      </c>
      <c r="M87" s="6">
        <v>900</v>
      </c>
      <c r="N87" s="6">
        <v>1400</v>
      </c>
      <c r="O87" s="6">
        <v>4755.5600000000004</v>
      </c>
      <c r="P87" s="6">
        <v>4355</v>
      </c>
      <c r="Q87" s="6">
        <v>4355</v>
      </c>
      <c r="R87" s="6">
        <v>75</v>
      </c>
      <c r="S87" s="6">
        <v>65</v>
      </c>
      <c r="T87" s="6">
        <v>0</v>
      </c>
      <c r="U87" s="6">
        <v>0</v>
      </c>
      <c r="V87" s="6">
        <v>0</v>
      </c>
      <c r="W87" s="6">
        <v>4495</v>
      </c>
    </row>
    <row r="88" spans="1:23" ns3:dyDescent="0.2">
      <c r="A88" s="3" t="s">
        <v>389</v>
      </c>
      <c r="B88" s="4" t="s">
        <v>103</v>
      </c>
      <c r="C88" s="4" t="s">
        <v>25</v>
      </c>
      <c r="D88" s="5">
        <v>1054</v>
      </c>
      <c r="E88" s="3" t="s">
        <v>26</v>
      </c>
      <c r="F88" s="3" t="s">
        <v>390</v>
      </c>
      <c r="G88" s="4" t="s">
        <v>391</v>
      </c>
      <c r="H88" s="4"/>
      <c r="I88" s="4" t="s">
        <v>45</v>
      </c>
      <c r="J88" s="4" t="s">
        <v>46</v>
      </c>
      <c r="K88" s="4" t="str">
        <f t="shared" si="1"/>
        <v>May-2026</v>
      </c>
      <c r="L88" s="6">
        <v>3849</v>
      </c>
      <c r="M88" s="6">
        <v>300</v>
      </c>
      <c r="N88" s="6">
        <v>300</v>
      </c>
      <c r="O88" s="6">
        <v>0</v>
      </c>
      <c r="P88" s="6">
        <v>3612</v>
      </c>
      <c r="Q88" s="6">
        <v>3612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3612</v>
      </c>
    </row>
    <row r="89" spans="1:23" ns3:dyDescent="0.2">
      <c r="A89" s="3" t="s">
        <v>392</v>
      </c>
      <c r="B89" s="4" t="s">
        <v>103</v>
      </c>
      <c r="C89" s="4" t="s">
        <v>25</v>
      </c>
      <c r="D89" s="5">
        <v>1054</v>
      </c>
      <c r="E89" s="3" t="s">
        <v>26</v>
      </c>
      <c r="F89" s="3" t="s">
        <v>393</v>
      </c>
      <c r="G89" s="4" t="s">
        <v>394</v>
      </c>
      <c r="H89" s="4"/>
      <c r="I89" s="4" t="s">
        <v>394</v>
      </c>
      <c r="J89" s="4" t="s">
        <v>395</v>
      </c>
      <c r="K89" s="4" t="str">
        <f t="shared" si="1"/>
        <v>Jun-2026</v>
      </c>
      <c r="L89" s="6">
        <v>3724</v>
      </c>
      <c r="M89" s="6">
        <v>900</v>
      </c>
      <c r="N89" s="6">
        <v>900</v>
      </c>
      <c r="O89" s="6">
        <v>4311.34</v>
      </c>
      <c r="P89" s="6">
        <v>3780</v>
      </c>
      <c r="Q89" s="6">
        <v>3780</v>
      </c>
      <c r="R89" s="6">
        <v>75</v>
      </c>
      <c r="S89" s="6">
        <v>130</v>
      </c>
      <c r="T89" s="6">
        <v>0</v>
      </c>
      <c r="U89" s="6">
        <v>0</v>
      </c>
      <c r="V89" s="6">
        <v>0</v>
      </c>
      <c r="W89" s="6">
        <v>3985</v>
      </c>
    </row>
    <row r="90" spans="1:23" ns3:dyDescent="0.2">
      <c r="A90" s="3" t="s">
        <v>396</v>
      </c>
      <c r="B90" s="4" t="s">
        <v>37</v>
      </c>
      <c r="C90" s="4" t="s">
        <v>25</v>
      </c>
      <c r="D90" s="5">
        <v>1094</v>
      </c>
      <c r="E90" s="3" t="s">
        <v>26</v>
      </c>
      <c r="F90" s="3" t="s">
        <v>397</v>
      </c>
      <c r="G90" s="4" t="s">
        <v>398</v>
      </c>
      <c r="H90" s="4"/>
      <c r="I90" s="4" t="s">
        <v>398</v>
      </c>
      <c r="J90" s="4" t="s">
        <v>399</v>
      </c>
      <c r="K90" s="4" t="str">
        <f t="shared" si="1"/>
        <v>Aug-2026</v>
      </c>
      <c r="L90" s="6">
        <v>4324</v>
      </c>
      <c r="M90" s="6">
        <v>500</v>
      </c>
      <c r="N90" s="6">
        <v>500</v>
      </c>
      <c r="O90" s="6">
        <v>0</v>
      </c>
      <c r="P90" s="6">
        <v>4317</v>
      </c>
      <c r="Q90" s="6">
        <v>4317</v>
      </c>
      <c r="R90" s="6">
        <v>75</v>
      </c>
      <c r="S90" s="6">
        <v>0</v>
      </c>
      <c r="T90" s="6">
        <v>0</v>
      </c>
      <c r="U90" s="6">
        <v>0</v>
      </c>
      <c r="V90" s="6">
        <v>0</v>
      </c>
      <c r="W90" s="6">
        <v>4392</v>
      </c>
    </row>
    <row r="91" spans="1:23" ns3:dyDescent="0.2">
      <c r="A91" s="3" t="s">
        <v>400</v>
      </c>
      <c r="B91" s="4" t="s">
        <v>37</v>
      </c>
      <c r="C91" s="4" t="s">
        <v>25</v>
      </c>
      <c r="D91" s="5">
        <v>1094</v>
      </c>
      <c r="E91" s="3" t="s">
        <v>26</v>
      </c>
      <c r="F91" s="3" t="s">
        <v>401</v>
      </c>
      <c r="G91" s="4" t="s">
        <v>402</v>
      </c>
      <c r="H91" s="4"/>
      <c r="I91" s="4" t="s">
        <v>403</v>
      </c>
      <c r="J91" s="4" t="s">
        <v>404</v>
      </c>
      <c r="K91" s="4" t="str">
        <f t="shared" si="1"/>
        <v>Jul-2026</v>
      </c>
      <c r="L91" s="6">
        <v>4324</v>
      </c>
      <c r="M91" s="6">
        <v>500</v>
      </c>
      <c r="N91" s="6">
        <v>500</v>
      </c>
      <c r="O91" s="6">
        <v>0</v>
      </c>
      <c r="P91" s="6">
        <v>4371</v>
      </c>
      <c r="Q91" s="6">
        <v>4371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4371</v>
      </c>
    </row>
    <row r="92" spans="1:23" ns3:dyDescent="0.2">
      <c r="A92" s="3" t="s">
        <v>405</v>
      </c>
      <c r="B92" s="4" t="s">
        <v>37</v>
      </c>
      <c r="C92" s="4" t="s">
        <v>25</v>
      </c>
      <c r="D92" s="5">
        <v>1094</v>
      </c>
      <c r="E92" s="3" t="s">
        <v>26</v>
      </c>
      <c r="F92" s="3" t="s">
        <v>406</v>
      </c>
      <c r="G92" s="4" t="s">
        <v>407</v>
      </c>
      <c r="H92" s="4"/>
      <c r="I92" s="4" t="s">
        <v>407</v>
      </c>
      <c r="J92" s="4" t="s">
        <v>408</v>
      </c>
      <c r="K92" s="4" t="str">
        <f t="shared" si="1"/>
        <v>Jun-2022</v>
      </c>
      <c r="L92" s="6">
        <v>4324</v>
      </c>
      <c r="M92" s="6">
        <v>300</v>
      </c>
      <c r="N92" s="6">
        <v>300</v>
      </c>
      <c r="O92" s="6">
        <v>4442.3900000000003</v>
      </c>
      <c r="P92" s="6">
        <v>3998</v>
      </c>
      <c r="Q92" s="6">
        <v>3998</v>
      </c>
      <c r="R92" s="6">
        <v>150</v>
      </c>
      <c r="S92" s="6">
        <v>0</v>
      </c>
      <c r="T92" s="6">
        <v>0</v>
      </c>
      <c r="U92" s="6">
        <v>0</v>
      </c>
      <c r="V92" s="6">
        <v>0</v>
      </c>
      <c r="W92" s="6">
        <v>4148</v>
      </c>
    </row>
    <row r="93" spans="1:23" ns3:dyDescent="0.2">
      <c r="A93" s="3" t="s">
        <v>409</v>
      </c>
      <c r="B93" s="4" t="s">
        <v>37</v>
      </c>
      <c r="C93" s="4" t="s">
        <v>25</v>
      </c>
      <c r="D93" s="5">
        <v>1094</v>
      </c>
      <c r="E93" s="3" t="s">
        <v>26</v>
      </c>
      <c r="F93" s="3" t="s">
        <v>410</v>
      </c>
      <c r="G93" s="4" t="s">
        <v>411</v>
      </c>
      <c r="H93" s="4"/>
      <c r="I93" s="4" t="s">
        <v>411</v>
      </c>
      <c r="J93" s="4" t="s">
        <v>412</v>
      </c>
      <c r="K93" s="4" t="str">
        <f t="shared" si="1"/>
        <v>Mar-2026</v>
      </c>
      <c r="L93" s="6">
        <v>4449</v>
      </c>
      <c r="M93" s="6">
        <v>2552.5</v>
      </c>
      <c r="N93" s="6">
        <v>2552.5</v>
      </c>
      <c r="O93" s="6">
        <v>0</v>
      </c>
      <c r="P93" s="6">
        <v>4105</v>
      </c>
      <c r="Q93" s="6">
        <v>4105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4105</v>
      </c>
    </row>
    <row r="94" spans="1:23" ns3:dyDescent="0.2">
      <c r="A94" s="3" t="s">
        <v>413</v>
      </c>
      <c r="B94" s="4" t="s">
        <v>103</v>
      </c>
      <c r="C94" s="4" t="s">
        <v>25</v>
      </c>
      <c r="D94" s="5">
        <v>1054</v>
      </c>
      <c r="E94" s="3" t="s">
        <v>26</v>
      </c>
      <c r="F94" s="3" t="s">
        <v>414</v>
      </c>
      <c r="G94" s="4" t="s">
        <v>415</v>
      </c>
      <c r="H94" s="4"/>
      <c r="I94" s="4" t="s">
        <v>416</v>
      </c>
      <c r="J94" s="4" t="s">
        <v>417</v>
      </c>
      <c r="K94" s="4" t="str">
        <f t="shared" si="1"/>
        <v>Dec-2025</v>
      </c>
      <c r="L94" s="6">
        <v>3749</v>
      </c>
      <c r="M94" s="6">
        <v>700</v>
      </c>
      <c r="N94" s="6">
        <v>700</v>
      </c>
      <c r="O94" s="6">
        <v>0</v>
      </c>
      <c r="P94" s="6">
        <v>3579</v>
      </c>
      <c r="Q94" s="6">
        <v>3579</v>
      </c>
      <c r="R94" s="6">
        <v>75</v>
      </c>
      <c r="S94" s="6">
        <v>65</v>
      </c>
      <c r="T94" s="6">
        <v>0</v>
      </c>
      <c r="U94" s="6">
        <v>0</v>
      </c>
      <c r="V94" s="6">
        <v>0</v>
      </c>
      <c r="W94" s="6">
        <v>3719</v>
      </c>
    </row>
    <row r="95" spans="1:23" ns3:dyDescent="0.2">
      <c r="A95" s="3" t="s">
        <v>418</v>
      </c>
      <c r="B95" s="4" t="s">
        <v>103</v>
      </c>
      <c r="C95" s="4" t="s">
        <v>38</v>
      </c>
      <c r="D95" s="5">
        <v>1054</v>
      </c>
      <c r="E95" s="3" t="s">
        <v>26</v>
      </c>
      <c r="F95" s="3" t="s">
        <v>419</v>
      </c>
      <c r="G95" s="4" t="s">
        <v>420</v>
      </c>
      <c r="H95" s="4"/>
      <c r="I95" s="4" t="s">
        <v>421</v>
      </c>
      <c r="J95" s="4" t="s">
        <v>422</v>
      </c>
      <c r="K95" s="4" t="str">
        <f t="shared" si="1"/>
        <v>Oct-2022</v>
      </c>
      <c r="L95" s="6">
        <v>3624</v>
      </c>
      <c r="M95" s="6">
        <v>300</v>
      </c>
      <c r="N95" s="6">
        <v>300</v>
      </c>
      <c r="O95" s="6">
        <v>3353.14</v>
      </c>
      <c r="P95" s="6">
        <v>3275</v>
      </c>
      <c r="Q95" s="6">
        <v>1289</v>
      </c>
      <c r="R95" s="6">
        <v>0</v>
      </c>
      <c r="S95" s="6">
        <v>0</v>
      </c>
      <c r="T95" s="6">
        <v>1986</v>
      </c>
      <c r="U95" s="6">
        <v>0</v>
      </c>
      <c r="V95" s="6">
        <v>0</v>
      </c>
      <c r="W95" s="6">
        <v>3275</v>
      </c>
    </row>
    <row r="96" spans="1:23" ns3:dyDescent="0.2">
      <c r="A96" s="3" t="s">
        <v>423</v>
      </c>
      <c r="B96" s="4" t="s">
        <v>48</v>
      </c>
      <c r="C96" s="4" t="s">
        <v>25</v>
      </c>
      <c r="D96" s="5">
        <v>1094</v>
      </c>
      <c r="E96" s="3" t="s">
        <v>26</v>
      </c>
      <c r="F96" s="3" t="s">
        <v>424</v>
      </c>
      <c r="G96" s="4" t="s">
        <v>425</v>
      </c>
      <c r="H96" s="4"/>
      <c r="I96" s="4" t="s">
        <v>426</v>
      </c>
      <c r="J96" s="4" t="s">
        <v>427</v>
      </c>
      <c r="K96" s="4" t="str">
        <f t="shared" si="1"/>
        <v>Jun-2026</v>
      </c>
      <c r="L96" s="6">
        <v>3906</v>
      </c>
      <c r="M96" s="6">
        <v>4388</v>
      </c>
      <c r="N96" s="6">
        <v>4388</v>
      </c>
      <c r="O96" s="6">
        <v>0</v>
      </c>
      <c r="P96" s="6">
        <v>3888</v>
      </c>
      <c r="Q96" s="6">
        <v>3888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3888</v>
      </c>
    </row>
    <row r="97" spans="1:23" ns3:dyDescent="0.2">
      <c r="A97" s="3" t="s">
        <v>428</v>
      </c>
      <c r="B97" s="4" t="s">
        <v>48</v>
      </c>
      <c r="C97" s="4" t="s">
        <v>25</v>
      </c>
      <c r="D97" s="5">
        <v>1094</v>
      </c>
      <c r="E97" s="3" t="s">
        <v>26</v>
      </c>
      <c r="F97" s="3" t="s">
        <v>429</v>
      </c>
      <c r="G97" s="4" t="s">
        <v>430</v>
      </c>
      <c r="H97" s="4"/>
      <c r="I97" s="4" t="s">
        <v>430</v>
      </c>
      <c r="J97" s="4" t="s">
        <v>431</v>
      </c>
      <c r="K97" s="4" t="str">
        <f t="shared" si="1"/>
        <v>Mar-2026</v>
      </c>
      <c r="L97" s="6">
        <v>3931</v>
      </c>
      <c r="M97" s="6">
        <v>500</v>
      </c>
      <c r="N97" s="6">
        <v>500</v>
      </c>
      <c r="O97" s="6">
        <v>3031.47</v>
      </c>
      <c r="P97" s="6">
        <v>3702</v>
      </c>
      <c r="Q97" s="6">
        <v>3702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3702</v>
      </c>
    </row>
    <row r="98" spans="1:23" ns3:dyDescent="0.2">
      <c r="A98" s="3" t="s">
        <v>432</v>
      </c>
      <c r="B98" s="4" t="s">
        <v>48</v>
      </c>
      <c r="C98" s="4" t="s">
        <v>25</v>
      </c>
      <c r="D98" s="5">
        <v>1094</v>
      </c>
      <c r="E98" s="3" t="s">
        <v>26</v>
      </c>
      <c r="F98" s="3" t="s">
        <v>433</v>
      </c>
      <c r="G98" s="4" t="s">
        <v>434</v>
      </c>
      <c r="H98" s="4"/>
      <c r="I98" s="4" t="s">
        <v>434</v>
      </c>
      <c r="J98" s="4" t="s">
        <v>435</v>
      </c>
      <c r="K98" s="4" t="str">
        <f t="shared" si="1"/>
        <v>Jul-2026</v>
      </c>
      <c r="L98" s="6">
        <v>3906</v>
      </c>
      <c r="M98" s="6">
        <v>500</v>
      </c>
      <c r="N98" s="6">
        <v>500</v>
      </c>
      <c r="O98" s="6">
        <v>0</v>
      </c>
      <c r="P98" s="6">
        <v>4012</v>
      </c>
      <c r="Q98" s="6">
        <v>4012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4012</v>
      </c>
    </row>
    <row r="99" spans="1:23" ns3:dyDescent="0.2">
      <c r="A99" s="3" t="s">
        <v>436</v>
      </c>
      <c r="B99" s="4" t="s">
        <v>48</v>
      </c>
      <c r="C99" s="4" t="s">
        <v>25</v>
      </c>
      <c r="D99" s="5">
        <v>1094</v>
      </c>
      <c r="E99" s="3" t="s">
        <v>26</v>
      </c>
      <c r="F99" s="3" t="s">
        <v>437</v>
      </c>
      <c r="G99" s="4" t="s">
        <v>438</v>
      </c>
      <c r="H99" s="4"/>
      <c r="I99" s="4" t="s">
        <v>426</v>
      </c>
      <c r="J99" s="4" t="s">
        <v>427</v>
      </c>
      <c r="K99" s="4" t="str">
        <f t="shared" si="1"/>
        <v>Jun-2026</v>
      </c>
      <c r="L99" s="6">
        <v>3881</v>
      </c>
      <c r="M99" s="6">
        <v>300</v>
      </c>
      <c r="N99" s="6">
        <v>300</v>
      </c>
      <c r="O99" s="6">
        <v>0</v>
      </c>
      <c r="P99" s="6">
        <v>3743</v>
      </c>
      <c r="Q99" s="6">
        <v>3743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3743</v>
      </c>
    </row>
    <row r="100" spans="1:23" ns3:dyDescent="0.2">
      <c r="A100" s="3" t="s">
        <v>439</v>
      </c>
      <c r="B100" s="4" t="s">
        <v>37</v>
      </c>
      <c r="C100" s="4" t="s">
        <v>25</v>
      </c>
      <c r="D100" s="5">
        <v>1094</v>
      </c>
      <c r="E100" s="3" t="s">
        <v>26</v>
      </c>
      <c r="F100" s="3" t="s">
        <v>440</v>
      </c>
      <c r="G100" s="4" t="s">
        <v>441</v>
      </c>
      <c r="H100" s="4"/>
      <c r="I100" s="4" t="s">
        <v>442</v>
      </c>
      <c r="J100" s="4" t="s">
        <v>443</v>
      </c>
      <c r="K100" s="4" t="str">
        <f t="shared" si="1"/>
        <v>Sep-2026</v>
      </c>
      <c r="L100" s="6">
        <v>4449</v>
      </c>
      <c r="M100" s="6">
        <v>2715</v>
      </c>
      <c r="N100" s="6">
        <v>2715</v>
      </c>
      <c r="O100" s="6">
        <v>0</v>
      </c>
      <c r="P100" s="6">
        <v>4271</v>
      </c>
      <c r="Q100" s="6">
        <v>4271</v>
      </c>
      <c r="R100" s="6">
        <v>75</v>
      </c>
      <c r="S100" s="6">
        <v>65</v>
      </c>
      <c r="T100" s="6">
        <v>0</v>
      </c>
      <c r="U100" s="6">
        <v>0</v>
      </c>
      <c r="V100" s="6">
        <v>0</v>
      </c>
      <c r="W100" s="6">
        <v>4411</v>
      </c>
    </row>
    <row r="101" spans="1:23" ns3:dyDescent="0.2">
      <c r="A101" s="3" t="s">
        <v>444</v>
      </c>
      <c r="B101" s="4" t="s">
        <v>37</v>
      </c>
      <c r="C101" s="4" t="s">
        <v>25</v>
      </c>
      <c r="D101" s="5">
        <v>1094</v>
      </c>
      <c r="E101" s="3" t="s">
        <v>26</v>
      </c>
      <c r="F101" s="3" t="s">
        <v>445</v>
      </c>
      <c r="G101" s="4" t="s">
        <v>446</v>
      </c>
      <c r="H101" s="4"/>
      <c r="I101" s="4" t="s">
        <v>446</v>
      </c>
      <c r="J101" s="4" t="s">
        <v>378</v>
      </c>
      <c r="K101" s="4" t="str">
        <f t="shared" si="1"/>
        <v>May-2026</v>
      </c>
      <c r="L101" s="6">
        <v>4489</v>
      </c>
      <c r="M101" s="6">
        <v>500</v>
      </c>
      <c r="N101" s="6">
        <v>700</v>
      </c>
      <c r="O101" s="6">
        <v>0</v>
      </c>
      <c r="P101" s="6">
        <v>4433</v>
      </c>
      <c r="Q101" s="6">
        <v>4433</v>
      </c>
      <c r="R101" s="6">
        <v>75</v>
      </c>
      <c r="S101" s="6">
        <v>65</v>
      </c>
      <c r="T101" s="6">
        <v>0</v>
      </c>
      <c r="U101" s="6">
        <v>0</v>
      </c>
      <c r="V101" s="6">
        <v>0</v>
      </c>
      <c r="W101" s="6">
        <v>4573</v>
      </c>
    </row>
    <row r="102" spans="1:23" ns3:dyDescent="0.2">
      <c r="A102" s="3" t="s">
        <v>447</v>
      </c>
      <c r="B102" s="4" t="s">
        <v>37</v>
      </c>
      <c r="C102" s="4" t="s">
        <v>25</v>
      </c>
      <c r="D102" s="5">
        <v>1094</v>
      </c>
      <c r="E102" s="3" t="s">
        <v>26</v>
      </c>
      <c r="F102" s="3" t="s">
        <v>448</v>
      </c>
      <c r="G102" s="4" t="s">
        <v>449</v>
      </c>
      <c r="H102" s="4"/>
      <c r="I102" s="4" t="s">
        <v>450</v>
      </c>
      <c r="J102" s="4" t="s">
        <v>451</v>
      </c>
      <c r="K102" s="4" t="str">
        <f t="shared" si="1"/>
        <v>Oct-2022</v>
      </c>
      <c r="L102" s="6">
        <v>4324</v>
      </c>
      <c r="M102" s="6">
        <v>99</v>
      </c>
      <c r="N102" s="6">
        <v>99</v>
      </c>
      <c r="O102" s="6">
        <v>4804.83</v>
      </c>
      <c r="P102" s="6">
        <v>4492</v>
      </c>
      <c r="Q102" s="6">
        <v>4492</v>
      </c>
      <c r="R102" s="6">
        <v>75</v>
      </c>
      <c r="S102" s="6">
        <v>0</v>
      </c>
      <c r="T102" s="6">
        <v>0</v>
      </c>
      <c r="U102" s="6">
        <v>0</v>
      </c>
      <c r="V102" s="6">
        <v>0</v>
      </c>
      <c r="W102" s="6">
        <v>4567</v>
      </c>
    </row>
    <row r="103" spans="1:23" ns3:dyDescent="0.2">
      <c r="A103" s="3" t="s">
        <v>452</v>
      </c>
      <c r="B103" s="4" t="s">
        <v>37</v>
      </c>
      <c r="C103" s="4" t="s">
        <v>25</v>
      </c>
      <c r="D103" s="5">
        <v>1094</v>
      </c>
      <c r="E103" s="3" t="s">
        <v>26</v>
      </c>
      <c r="F103" s="3" t="s">
        <v>453</v>
      </c>
      <c r="G103" s="4" t="s">
        <v>454</v>
      </c>
      <c r="H103" s="4"/>
      <c r="I103" s="4" t="s">
        <v>455</v>
      </c>
      <c r="J103" s="4" t="s">
        <v>456</v>
      </c>
      <c r="K103" s="4" t="str">
        <f t="shared" si="1"/>
        <v>Oct-2025</v>
      </c>
      <c r="L103" s="6">
        <v>4489</v>
      </c>
      <c r="M103" s="6">
        <v>500</v>
      </c>
      <c r="N103" s="6">
        <v>500</v>
      </c>
      <c r="O103" s="6">
        <v>0</v>
      </c>
      <c r="P103" s="6">
        <v>4664</v>
      </c>
      <c r="Q103" s="6">
        <v>4664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4664</v>
      </c>
    </row>
    <row r="104" spans="1:23" ns3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8"/>
    </row>
    <row r="105" spans="1:23" ns3:dyDescent="0.2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21"/>
      <c r="L105" s="10">
        <v>398168</v>
      </c>
      <c r="M105" s="10">
        <v>76955</v>
      </c>
      <c r="N105" s="10">
        <v>83205</v>
      </c>
      <c r="O105" s="10">
        <v>191125.03</v>
      </c>
      <c r="P105" s="10">
        <v>367014</v>
      </c>
      <c r="Q105" s="10">
        <v>350911</v>
      </c>
      <c r="R105" s="10">
        <v>5550</v>
      </c>
      <c r="S105" s="10">
        <v>2665</v>
      </c>
      <c r="T105" s="10">
        <v>16103</v>
      </c>
      <c r="U105" s="10">
        <v>240</v>
      </c>
      <c r="V105" s="10">
        <v>-3553</v>
      </c>
      <c r="W105" s="10">
        <v>371916</v>
      </c>
    </row>
    <row r="106" spans="1:23" ns3:dyDescent="0.2">
      <c r="A106" s="57"/>
      <c r="B106" s="57"/>
      <c r="C106" s="57"/>
      <c r="D106" s="57"/>
      <c r="E106" s="57"/>
      <c r="F106" s="57"/>
      <c r="G106" s="1"/>
      <c r="H106" s="1"/>
      <c r="I106" s="1"/>
      <c r="J106" s="1"/>
      <c r="K106" s="1"/>
      <c r="L106" s="11"/>
      <c r="M106" s="11"/>
      <c r="N106" s="11"/>
      <c r="O106" s="11"/>
      <c r="P106" s="1"/>
      <c r="Q106" s="1"/>
      <c r="R106" s="1"/>
      <c r="S106" s="1"/>
      <c r="T106" s="1"/>
      <c r="U106" s="1"/>
      <c r="V106" s="1"/>
      <c r="W106" s="1"/>
    </row>
    <row r="109" spans="1:23" ns3:dyDescent="0.2">
      <c r="K109" s="32" t="s">
        <v>457</v>
      </c>
      <c r="L109" s="35"/>
    </row>
    <row r="110" spans="1:23" ns3:dyDescent="0.2">
      <c r="K110" s="32" t="s">
        <v>10</v>
      </c>
      <c r="L110" s="35" t="s">
        <v>458</v>
      </c>
      <c r="M110" s="15" t="s">
        <v>459</v>
      </c>
      <c r="N110" t="s">
        <v>460</v>
      </c>
    </row>
    <row r="111" spans="1:23" ns3:dyDescent="0.2">
      <c r="K111" s="31" t="s">
        <v>461</v>
      </c>
      <c r="L111" s="35">
        <v>6</v>
      </c>
      <c r="M111" s="38">
        <f>GETPIVOTDATA("Unit",$K$109,"Lease End Month","Apr-2026")/Assumptions!$B$13</f>
        <v>6.3157894736842107E-2</v>
      </c>
      <c r="N111" s="38">
        <f>M111/$M$121</f>
        <v>8.6956521739130432E-2</v>
      </c>
    </row>
    <row r="112" spans="1:23" ns3:dyDescent="0.2">
      <c r="K112" s="33" t="s">
        <v>462</v>
      </c>
      <c r="L112" s="36">
        <v>7</v>
      </c>
      <c r="M112" s="38">
        <f>GETPIVOTDATA("Unit",$K$109,"Lease End Month","Aug-2026")/Assumptions!B13</f>
        <v>7.3684210526315783E-2</v>
      </c>
      <c r="N112" s="38">
        <f t="shared" ref="N112:N120" si="2">M112/$M$121</f>
        <v>0.10144927536231882</v>
      </c>
    </row>
    <row r="113" spans="11:22" ns3:dyDescent="0.2">
      <c r="K113" s="33" t="s">
        <v>463</v>
      </c>
      <c r="L113" s="36">
        <v>1</v>
      </c>
      <c r="M113" s="38">
        <f>GETPIVOTDATA("Unit",$K$109,"Lease End Month","Feb-2026")/Assumptions!B13</f>
        <v>1.0526315789473684E-2</v>
      </c>
      <c r="N113" s="38">
        <f t="shared" si="2"/>
        <v>1.4492753623188404E-2</v>
      </c>
      <c r="V113" s="25">
        <f>SUM(Q105:V105)</f>
        <v>371916</v>
      </c>
    </row>
    <row r="114" spans="11:22" ns3:dyDescent="0.2">
      <c r="K114" s="33" t="s">
        <v>464</v>
      </c>
      <c r="L114" s="36">
        <v>7</v>
      </c>
      <c r="M114" s="38">
        <f>GETPIVOTDATA("Unit",$K$109,"Lease End Month","Jan-2026")/Assumptions!B13</f>
        <v>7.3684210526315783E-2</v>
      </c>
      <c r="N114" s="38">
        <f t="shared" si="2"/>
        <v>0.10144927536231882</v>
      </c>
    </row>
    <row r="115" spans="11:22" ns3:dyDescent="0.2">
      <c r="K115" s="33" t="s">
        <v>465</v>
      </c>
      <c r="L115" s="36">
        <v>9</v>
      </c>
      <c r="M115" s="38">
        <f>GETPIVOTDATA("Unit",$K$109,"Lease End Month","Jul-2026")/Assumptions!B13</f>
        <v>9.4736842105263161E-2</v>
      </c>
      <c r="N115" s="38">
        <f t="shared" si="2"/>
        <v>0.13043478260869565</v>
      </c>
    </row>
    <row r="116" spans="11:22" ns3:dyDescent="0.2">
      <c r="K116" s="33" t="s">
        <v>466</v>
      </c>
      <c r="L116" s="36">
        <v>11</v>
      </c>
      <c r="M116" s="38">
        <f>GETPIVOTDATA("Unit",$K$109,"Lease End Month","Jun-2026")/Assumptions!B13</f>
        <v>0.11578947368421053</v>
      </c>
      <c r="N116" s="38">
        <f t="shared" si="2"/>
        <v>0.15942028985507245</v>
      </c>
    </row>
    <row r="117" spans="11:22" ns3:dyDescent="0.2">
      <c r="K117" s="33" t="s">
        <v>467</v>
      </c>
      <c r="L117" s="36">
        <v>6</v>
      </c>
      <c r="M117" s="38">
        <f>GETPIVOTDATA("Unit",$K$109,"Lease End Month","Mar-2026")/Assumptions!B13</f>
        <v>6.3157894736842107E-2</v>
      </c>
      <c r="N117" s="38">
        <f t="shared" si="2"/>
        <v>8.6956521739130432E-2</v>
      </c>
    </row>
    <row r="118" spans="11:22" ns3:dyDescent="0.2">
      <c r="K118" s="33" t="s">
        <v>468</v>
      </c>
      <c r="L118" s="36">
        <v>15</v>
      </c>
      <c r="M118" s="38">
        <f>GETPIVOTDATA("Unit",$K$109,"Lease End Month","May-2026")/Assumptions!B13</f>
        <v>0.15789473684210525</v>
      </c>
      <c r="N118" s="38">
        <f t="shared" si="2"/>
        <v>0.21739130434782605</v>
      </c>
    </row>
    <row r="119" spans="11:22" ns3:dyDescent="0.2">
      <c r="K119" s="33" t="s">
        <v>469</v>
      </c>
      <c r="L119" s="36">
        <v>1</v>
      </c>
      <c r="M119" s="38">
        <f>GETPIVOTDATA("Unit",$K$109,"Lease End Month","Oct-2026")/Assumptions!B13</f>
        <v>1.0526315789473684E-2</v>
      </c>
      <c r="N119" s="38">
        <f t="shared" si="2"/>
        <v>1.4492753623188404E-2</v>
      </c>
    </row>
    <row r="120" spans="11:22" ns3:dyDescent="0.2">
      <c r="K120" s="33" t="s">
        <v>470</v>
      </c>
      <c r="L120" s="36">
        <v>6</v>
      </c>
      <c r="M120" s="38">
        <f>GETPIVOTDATA("Unit",$K$109,"Lease End Month","Sep-2026")/Assumptions!B13</f>
        <v>6.3157894736842107E-2</v>
      </c>
      <c r="N120" s="38">
        <f t="shared" si="2"/>
        <v>8.6956521739130432E-2</v>
      </c>
      <c r="O120" s="39"/>
    </row>
    <row r="121" spans="11:22" ns3:dyDescent="0.2">
      <c r="K121" s="34" t="s">
        <v>471</v>
      </c>
      <c r="L121" s="37">
        <v>69</v>
      </c>
      <c r="M121" s="41">
        <f>GETPIVOTDATA("Unit",$K$109)/Assumptions!B13</f>
        <v>0.72631578947368425</v>
      </c>
      <c r="N121" s="42">
        <f>SUM(N111:N120)</f>
        <v>0.99999999999999978</v>
      </c>
    </row>
    <row r="123" spans="11:22" ns3:dyDescent="0.2">
      <c r="K123" s="40">
        <v>46327</v>
      </c>
      <c r="M123" s="38">
        <f>(1-M121)/2</f>
        <v>0.13684210526315788</v>
      </c>
    </row>
    <row r="124" spans="11:22" ns3:dyDescent="0.2">
      <c r="K124" s="40">
        <v>46357</v>
      </c>
      <c r="M124" s="38">
        <f>(1-M121)/2</f>
        <v>0.13684210526315788</v>
      </c>
    </row>
    <row r="125" spans="11:22" ns3:dyDescent="0.2">
      <c r="M125" s="42">
        <f>SUM(M123:M124,M111:M120)</f>
        <v>1</v>
      </c>
    </row>
  </sheetData>
  <mergeCells count="2">
    <mergeCell ref="A106:F106"/>
    <mergeCell ref="A105:J105"/>
  </mergeCells>
  <pageMargins left="1" right="1" top="1" bottom="1" header="1" footer="1"/>
  <pageSetup orientation="portrait" ns4:id="rId2"/>
  <headerFooter alignWithMargins="0"/>
</worksheet>
</file>

<file path=xl/worksheets/sheet2.xml><?xml version="1.0" encoding="utf-8"?>
<worksheet xmlns="http://schemas.openxmlformats.org/spreadsheetml/2006/main" xmlns:ns1="http://schemas.openxmlformats.org/markup-compatibility/2006" xmlns:ns2="http://schemas.microsoft.com/office/spreadsheetml/2014/revision" xmlns:ns3="http://schemas.microsoft.com/office/spreadsheetml/2009/9/ac" ns1:Ignorable="x14ac xr xr2 xr3" ns2:uid="{EF455E38-EFCB-4DE5-9598-D8F0EF78A535}">
  <sheetPr>
    <outlinePr summaryBelow="0" summaryRight="0"/>
  </sheetPr>
  <dimension ref="A1:K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7" sqref="F7"/>
    </sheetView>
  </sheetViews>
  <sheetFormatPr defaultRowHeight="12.75" ns3:dyDescent="0.2"/>
  <cols>
    <col min="1" max="1" width="18.85546875" customWidth="1"/>
    <col min="2" max="2" width="17.140625" customWidth="1"/>
    <col min="3" max="4" width="18.85546875" customWidth="1"/>
    <col min="5" max="5" width="17.140625" customWidth="1"/>
    <col min="6" max="10" width="18.85546875" customWidth="1"/>
    <col min="11" max="11" width="198.85546875" customWidth="1"/>
  </cols>
  <sheetData>
    <row r="1" spans="1:11" ht="25.5" ns3:dyDescent="0.2">
      <c r="A1" s="2" t="s">
        <v>1</v>
      </c>
      <c r="B1" s="2" t="s">
        <v>472</v>
      </c>
      <c r="C1" s="2" t="s">
        <v>473</v>
      </c>
      <c r="D1" s="2" t="s">
        <v>474</v>
      </c>
      <c r="E1" s="2" t="s">
        <v>475</v>
      </c>
      <c r="F1" s="2" t="s">
        <v>476</v>
      </c>
      <c r="G1" s="2" t="s">
        <v>477</v>
      </c>
      <c r="H1" s="2" t="s">
        <v>478</v>
      </c>
      <c r="I1" s="2" t="s">
        <v>479</v>
      </c>
      <c r="J1" s="2" t="s">
        <v>480</v>
      </c>
      <c r="K1" s="1"/>
    </row>
    <row r="2" spans="1:11" ns3:dyDescent="0.2">
      <c r="A2" s="3" t="s">
        <v>24</v>
      </c>
      <c r="B2" s="5">
        <v>12</v>
      </c>
      <c r="C2" s="6">
        <v>650</v>
      </c>
      <c r="D2" s="6">
        <v>3199.92</v>
      </c>
      <c r="E2" s="6">
        <v>4.92</v>
      </c>
      <c r="F2" s="6">
        <v>3084.64</v>
      </c>
      <c r="G2" s="6">
        <v>4.75</v>
      </c>
      <c r="H2" s="5">
        <v>11</v>
      </c>
      <c r="I2" s="6">
        <v>91.67</v>
      </c>
      <c r="J2" s="5">
        <v>2</v>
      </c>
      <c r="K2" s="1"/>
    </row>
    <row r="3" spans="1:11" ns3:dyDescent="0.2">
      <c r="A3" s="3" t="s">
        <v>103</v>
      </c>
      <c r="B3" s="5">
        <v>16</v>
      </c>
      <c r="C3" s="6">
        <v>1054</v>
      </c>
      <c r="D3" s="6">
        <v>3672.44</v>
      </c>
      <c r="E3" s="6">
        <v>3.48</v>
      </c>
      <c r="F3" s="6">
        <v>3604.19</v>
      </c>
      <c r="G3" s="6">
        <v>3.42</v>
      </c>
      <c r="H3" s="5">
        <v>16</v>
      </c>
      <c r="I3" s="6">
        <v>100</v>
      </c>
      <c r="J3" s="5">
        <v>1</v>
      </c>
      <c r="K3" s="1"/>
    </row>
    <row r="4" spans="1:11" ns3:dyDescent="0.2">
      <c r="A4" s="3" t="s">
        <v>48</v>
      </c>
      <c r="B4" s="5">
        <v>20</v>
      </c>
      <c r="C4" s="6">
        <v>1094</v>
      </c>
      <c r="D4" s="6">
        <v>3838.5</v>
      </c>
      <c r="E4" s="6">
        <v>3.51</v>
      </c>
      <c r="F4" s="6">
        <v>3742.45</v>
      </c>
      <c r="G4" s="6">
        <v>3.42</v>
      </c>
      <c r="H4" s="5">
        <v>20</v>
      </c>
      <c r="I4" s="6">
        <v>100</v>
      </c>
      <c r="J4" s="5">
        <v>0</v>
      </c>
      <c r="K4" s="1"/>
    </row>
    <row r="5" spans="1:11" ns3:dyDescent="0.2">
      <c r="A5" s="3" t="s">
        <v>74</v>
      </c>
      <c r="B5" s="5">
        <v>6</v>
      </c>
      <c r="C5" s="6">
        <v>1064</v>
      </c>
      <c r="D5" s="6">
        <v>4084.33</v>
      </c>
      <c r="E5" s="6">
        <v>3.84</v>
      </c>
      <c r="F5" s="6">
        <v>3965</v>
      </c>
      <c r="G5" s="6">
        <v>3.73</v>
      </c>
      <c r="H5" s="5">
        <v>6</v>
      </c>
      <c r="I5" s="6">
        <v>100</v>
      </c>
      <c r="J5" s="5">
        <v>0</v>
      </c>
      <c r="K5" s="1"/>
    </row>
    <row r="6" spans="1:11" ns3:dyDescent="0.2">
      <c r="A6" s="3" t="s">
        <v>37</v>
      </c>
      <c r="B6" s="5">
        <v>46</v>
      </c>
      <c r="C6" s="6">
        <v>1094</v>
      </c>
      <c r="D6" s="6">
        <v>4342.04</v>
      </c>
      <c r="E6" s="6">
        <v>3.97</v>
      </c>
      <c r="F6" s="6">
        <v>4208.9799999999996</v>
      </c>
      <c r="G6" s="6">
        <v>3.85</v>
      </c>
      <c r="H6" s="5">
        <v>42</v>
      </c>
      <c r="I6" s="6">
        <v>91.3</v>
      </c>
      <c r="J6" s="5">
        <v>4</v>
      </c>
      <c r="K6" s="1"/>
    </row>
    <row r="7" spans="1:11" ns3:dyDescent="0.2">
      <c r="A7" s="9" t="s">
        <v>481</v>
      </c>
      <c r="B7" s="12">
        <v>100</v>
      </c>
      <c r="C7" s="10">
        <v>1033</v>
      </c>
      <c r="D7" s="10">
        <v>3981.68</v>
      </c>
      <c r="E7" s="10">
        <v>3.85</v>
      </c>
      <c r="F7" s="10">
        <v>3863.31</v>
      </c>
      <c r="G7" s="10">
        <v>3.74</v>
      </c>
      <c r="H7" s="12">
        <v>95</v>
      </c>
      <c r="I7" s="10">
        <v>95</v>
      </c>
      <c r="J7" s="12">
        <v>7</v>
      </c>
      <c r="K7" s="1"/>
    </row>
  </sheetData>
  <pageMargins left="1" right="1" top="1" bottom="1" header="1" footer="1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ns1="http://schemas.openxmlformats.org/markup-compatibility/2006" xmlns:ns2="http://schemas.microsoft.com/office/spreadsheetml/2014/revision" xmlns:ns3="http://schemas.microsoft.com/office/spreadsheetml/2009/9/ac" ns1:Ignorable="x14ac xr xr2 xr3" ns2:uid="{B357E414-C271-45F2-869D-34C61591E358}">
  <sheetPr>
    <outlinePr summaryBelow="0" summaryRight="0"/>
  </sheetPr>
  <dimension ref="A1:J18"/>
  <sheetViews>
    <sheetView showGridLines="0" workbookViewId="0">
      <selection activeCell="B8" sqref="B8"/>
    </sheetView>
  </sheetViews>
  <sheetFormatPr defaultRowHeight="12.75" ns3:dyDescent="0.2"/>
  <cols>
    <col min="1" max="2" width="34.28515625" customWidth="1"/>
    <col min="3" max="3" width="20.5703125" customWidth="1"/>
    <col min="4" max="4" width="34.28515625" customWidth="1"/>
    <col min="5" max="5" width="6.85546875" customWidth="1"/>
    <col min="6" max="6" width="20.5703125" customWidth="1"/>
    <col min="7" max="7" width="41.140625" customWidth="1"/>
    <col min="8" max="8" width="6.85546875" customWidth="1"/>
    <col min="9" max="9" width="61.7109375" customWidth="1"/>
    <col min="10" max="10" width="123.42578125" customWidth="1"/>
  </cols>
  <sheetData>
    <row r="1" spans="1:10" ht="18" customHeight="1" ns3:dyDescent="0.2">
      <c r="A1" s="60" t="s">
        <v>482</v>
      </c>
      <c r="B1" s="60"/>
      <c r="C1" s="60"/>
      <c r="D1" s="60"/>
      <c r="E1" s="1"/>
      <c r="F1" s="60" t="s">
        <v>483</v>
      </c>
      <c r="G1" s="60"/>
      <c r="H1" s="1"/>
      <c r="I1" s="1"/>
      <c r="J1" s="1"/>
    </row>
    <row r="2" spans="1:10" ns3:dyDescent="0.2">
      <c r="A2" s="13" t="s">
        <v>484</v>
      </c>
      <c r="B2" s="13" t="s">
        <v>11</v>
      </c>
      <c r="C2" s="13" t="s">
        <v>472</v>
      </c>
      <c r="D2" s="13" t="s">
        <v>485</v>
      </c>
      <c r="E2" s="1"/>
      <c r="F2" s="13" t="s">
        <v>486</v>
      </c>
      <c r="G2" s="13" t="s">
        <v>487</v>
      </c>
      <c r="H2" s="1"/>
      <c r="I2" s="1"/>
      <c r="J2" s="1"/>
    </row>
    <row r="3" spans="1:10" ns3:dyDescent="0.2">
      <c r="A3" s="3" t="s">
        <v>488</v>
      </c>
      <c r="B3" s="6">
        <v>366330</v>
      </c>
      <c r="C3" s="5">
        <v>92</v>
      </c>
      <c r="D3" s="6">
        <v>354593</v>
      </c>
      <c r="E3" s="1"/>
      <c r="F3" s="3" t="s">
        <v>21</v>
      </c>
      <c r="G3" s="6">
        <v>-3553</v>
      </c>
      <c r="H3" s="1"/>
      <c r="I3" s="1"/>
      <c r="J3" s="1"/>
    </row>
    <row r="4" spans="1:10" ns3:dyDescent="0.2">
      <c r="A4" s="3" t="s">
        <v>489</v>
      </c>
      <c r="B4" s="6">
        <v>11130</v>
      </c>
      <c r="C4" s="5">
        <v>3</v>
      </c>
      <c r="D4" s="6">
        <v>12421</v>
      </c>
      <c r="E4" s="1"/>
      <c r="F4" s="3" t="s">
        <v>17</v>
      </c>
      <c r="G4" s="6">
        <v>5550</v>
      </c>
      <c r="H4" s="1"/>
      <c r="I4" s="1"/>
      <c r="J4" s="1"/>
    </row>
    <row r="5" spans="1:10" ns3:dyDescent="0.2">
      <c r="A5" s="3" t="s">
        <v>490</v>
      </c>
      <c r="B5" s="6">
        <v>0</v>
      </c>
      <c r="C5" s="5">
        <v>0</v>
      </c>
      <c r="D5" s="6">
        <v>0</v>
      </c>
      <c r="E5" s="1"/>
      <c r="F5" s="3" t="s">
        <v>18</v>
      </c>
      <c r="G5" s="6">
        <v>2665</v>
      </c>
      <c r="H5" s="1"/>
      <c r="I5" s="1"/>
      <c r="J5" s="1"/>
    </row>
    <row r="6" spans="1:10" ns3:dyDescent="0.2">
      <c r="A6" s="3" t="s">
        <v>491</v>
      </c>
      <c r="B6" s="6">
        <v>4449</v>
      </c>
      <c r="C6" s="5">
        <v>1</v>
      </c>
      <c r="D6" s="6">
        <v>4449</v>
      </c>
      <c r="E6" s="1"/>
      <c r="F6" s="3" t="s">
        <v>16</v>
      </c>
      <c r="G6" s="6">
        <v>350911</v>
      </c>
      <c r="H6" s="1"/>
      <c r="I6" s="1"/>
      <c r="J6" s="1"/>
    </row>
    <row r="7" spans="1:10" ns3:dyDescent="0.2">
      <c r="A7" s="3" t="s">
        <v>492</v>
      </c>
      <c r="B7" s="6">
        <v>0</v>
      </c>
      <c r="C7" s="5">
        <v>0</v>
      </c>
      <c r="D7" s="6">
        <v>0</v>
      </c>
      <c r="E7" s="1"/>
      <c r="F7" s="3" t="s">
        <v>19</v>
      </c>
      <c r="G7" s="6">
        <v>16103</v>
      </c>
      <c r="H7" s="1"/>
      <c r="I7" s="1"/>
      <c r="J7" s="1"/>
    </row>
    <row r="8" spans="1:10" ns3:dyDescent="0.2">
      <c r="A8" s="3" t="s">
        <v>493</v>
      </c>
      <c r="B8" s="6">
        <v>16259</v>
      </c>
      <c r="C8" s="5">
        <v>4</v>
      </c>
      <c r="D8" s="6">
        <v>16259</v>
      </c>
      <c r="E8" s="1"/>
      <c r="F8" s="3" t="s">
        <v>20</v>
      </c>
      <c r="G8" s="6">
        <v>240</v>
      </c>
      <c r="H8" s="1"/>
      <c r="I8" s="1"/>
      <c r="J8" s="1"/>
    </row>
    <row r="9" spans="1:10" ht="18" customHeight="1" ns3:dyDescent="0.2">
      <c r="A9" s="59"/>
      <c r="B9" s="59"/>
      <c r="C9" s="59"/>
      <c r="D9" s="59"/>
      <c r="E9" s="1"/>
      <c r="F9" s="59"/>
      <c r="G9" s="59"/>
      <c r="H9" s="1"/>
      <c r="I9" s="1"/>
      <c r="J9" s="1"/>
    </row>
    <row r="10" spans="1:10" ns3:dyDescent="0.2">
      <c r="A10" s="9" t="s">
        <v>494</v>
      </c>
      <c r="B10" s="10">
        <v>398168</v>
      </c>
      <c r="C10" s="12">
        <v>100</v>
      </c>
      <c r="D10" s="10">
        <v>387722</v>
      </c>
      <c r="E10" s="1"/>
      <c r="F10" s="9" t="s">
        <v>495</v>
      </c>
      <c r="G10" s="10">
        <v>371916</v>
      </c>
      <c r="H10" s="1"/>
      <c r="I10" s="1"/>
      <c r="J10" s="1"/>
    </row>
    <row r="18" spans="4:4" ns3:dyDescent="0.2">
      <c r="D18" s="27"/>
    </row>
  </sheetData>
  <mergeCells count="4">
    <mergeCell ref="A9:D9"/>
    <mergeCell ref="F9:G9"/>
    <mergeCell ref="A1:D1"/>
    <mergeCell ref="F1:G1"/>
  </mergeCells>
  <pageMargins left="1" right="1" top="1" bottom="1" header="1" footer="1"/>
  <pageSetup orientation="portrait" horizontalDpi="0" verticalDpi="0"/>
  <headerFooter alignWithMargins="0"/>
</worksheet>
</file>

<file path=xl/worksheets/sheet4.xml><?xml version="1.0" encoding="utf-8"?>
<worksheet xmlns="http://schemas.openxmlformats.org/spreadsheetml/2006/main" xmlns:ns1="http://schemas.openxmlformats.org/markup-compatibility/2006" xmlns:ns2="http://schemas.microsoft.com/office/spreadsheetml/2014/revision" xmlns:ns3="http://schemas.microsoft.com/office/spreadsheetml/2009/9/ac" xmlns:ns4="http://schemas.openxmlformats.org/officeDocument/2006/relationships" ns1:Ignorable="x14ac xr xr2 xr3" ns2:uid="{4237AF5B-34DA-4017-B14E-4AA0D1D1A474}">
  <dimension ref="A1:D38"/>
  <sheetViews>
    <sheetView showGridLines="0" zoomScaleNormal="100" workbookViewId="0">
      <selection activeCell="U8" sqref="U8"/>
    </sheetView>
  </sheetViews>
  <sheetFormatPr defaultRowHeight="12.75" ns3:dyDescent="0.2"/>
  <cols>
    <col min="1" max="1" width="36.5703125" bestFit="1" customWidth="1"/>
    <col min="2" max="2" width="15" bestFit="1" customWidth="1"/>
  </cols>
  <sheetData>
    <row r="1" spans="1:4" ns3:dyDescent="0.2">
      <c r="A1" s="61" t="s">
        <v>496</v>
      </c>
      <c r="B1" s="61"/>
      <c r="C1" s="15"/>
      <c r="D1" s="15"/>
    </row>
    <row r="2" spans="1:4" ns3:dyDescent="0.2">
      <c r="A2" s="16" t="s">
        <v>497</v>
      </c>
      <c r="B2" s="15"/>
      <c r="C2" s="15"/>
      <c r="D2" s="15"/>
    </row>
    <row r="3" spans="1:4" ns3:dyDescent="0.2">
      <c r="A3" s="17" t="s">
        <v>498</v>
      </c>
      <c r="B3" s="51">
        <f>0.05</f>
        <v>0.05</v>
      </c>
      <c r="C3" s="17" t="s">
        <v>499</v>
      </c>
      <c r="D3" s="15"/>
    </row>
    <row r="4" spans="1:4" ns3:dyDescent="0.2">
      <c r="A4" s="17" t="s">
        <v>500</v>
      </c>
      <c r="B4" s="52">
        <v>50000</v>
      </c>
      <c r="C4" s="17" t="s">
        <v>501</v>
      </c>
      <c r="D4" s="15"/>
    </row>
    <row r="5" spans="1:4" ns3:dyDescent="0.2">
      <c r="A5" s="17" t="s">
        <v>502</v>
      </c>
      <c r="B5" s="51">
        <v>0.95</v>
      </c>
      <c r="C5" s="17" t="s">
        <v>503</v>
      </c>
      <c r="D5" s="15"/>
    </row>
    <row r="6" spans="1:4" ns3:dyDescent="0.2">
      <c r="A6" s="22" t="s">
        <v>504</v>
      </c>
      <c r="B6" s="49">
        <f>1-B5</f>
        <v>5.0000000000000044E-2</v>
      </c>
      <c r="C6" s="22" t="s">
        <v>505</v>
      </c>
      <c r="D6" s="15"/>
    </row>
    <row r="7" spans="1:4" ns3:dyDescent="0.2">
      <c r="A7" s="17" t="s">
        <v>506</v>
      </c>
      <c r="B7" s="51">
        <v>0.6</v>
      </c>
      <c r="C7" s="15"/>
      <c r="D7" s="15"/>
    </row>
    <row r="8" spans="1:4" ns3:dyDescent="0.2">
      <c r="A8" s="22" t="s">
        <v>507</v>
      </c>
      <c r="B8" s="18">
        <f>1-B7</f>
        <v>0.4</v>
      </c>
      <c r="C8" s="22" t="s">
        <v>508</v>
      </c>
      <c r="D8" s="15"/>
    </row>
    <row r="9" spans="1:4" ns3:dyDescent="0.2">
      <c r="A9" s="17" t="s">
        <v>509</v>
      </c>
      <c r="B9" s="51">
        <v>0.05</v>
      </c>
      <c r="C9" s="15"/>
      <c r="D9" s="15"/>
    </row>
    <row r="10" spans="1:4" ns3:dyDescent="0.2">
      <c r="A10" s="22" t="s">
        <v>510</v>
      </c>
      <c r="B10" s="18">
        <f>B7/12</f>
        <v>4.9999999999999996E-2</v>
      </c>
      <c r="C10" s="15"/>
      <c r="D10" s="15"/>
    </row>
    <row r="11" spans="1:4" ns3:dyDescent="0.2">
      <c r="A11" s="22" t="s">
        <v>511</v>
      </c>
      <c r="B11" s="18">
        <f>B8/12</f>
        <v>3.3333333333333333E-2</v>
      </c>
      <c r="C11" s="15"/>
      <c r="D11" s="15"/>
    </row>
    <row r="12" spans="1:4" ns3:dyDescent="0.2">
      <c r="A12" s="17" t="s">
        <v>512</v>
      </c>
      <c r="B12" s="51">
        <v>0.75</v>
      </c>
      <c r="C12" s="17" t="s">
        <v>513</v>
      </c>
      <c r="D12" s="15"/>
    </row>
    <row r="13" spans="1:4" ns3:dyDescent="0.2">
      <c r="A13" s="22" t="s">
        <v>514</v>
      </c>
      <c r="B13" s="30">
        <f>Sheet3!C10*Assumptions!B5</f>
        <v>95</v>
      </c>
      <c r="C13" s="17"/>
      <c r="D13" s="15"/>
    </row>
    <row r="14" spans="1:4" ns3:dyDescent="0.2">
      <c r="A14" s="22" t="s">
        <v>515</v>
      </c>
      <c r="B14" s="22" t="s">
        <v>516</v>
      </c>
      <c r="D14" s="15"/>
    </row>
    <row r="15" spans="1:4" ns3:dyDescent="0.2">
      <c r="A15" s="15"/>
      <c r="B15" s="15"/>
      <c r="C15" s="15"/>
    </row>
    <row r="16" spans="1:4" ns3:dyDescent="0.2">
      <c r="A16" s="16" t="s">
        <v>517</v>
      </c>
      <c r="B16" s="15"/>
      <c r="C16" s="15"/>
    </row>
    <row r="17" spans="1:3" ns3:dyDescent="0.2">
      <c r="A17" s="17" t="s">
        <v>518</v>
      </c>
      <c r="B17" s="51">
        <v>0.03</v>
      </c>
      <c r="C17" s="17" t="s">
        <v>499</v>
      </c>
    </row>
    <row r="18" spans="1:3" ns3:dyDescent="0.2">
      <c r="A18" s="17" t="s">
        <v>519</v>
      </c>
      <c r="B18" s="51">
        <v>0.03</v>
      </c>
      <c r="C18" s="17" t="s">
        <v>520</v>
      </c>
    </row>
    <row r="19" spans="1:3" ns3:dyDescent="0.2">
      <c r="A19" s="17" t="s">
        <v>521</v>
      </c>
      <c r="B19" s="53" t="s">
        <v>522</v>
      </c>
      <c r="C19" s="15"/>
    </row>
    <row r="20" spans="1:3" ns3:dyDescent="0.2">
      <c r="A20" s="44" t="s">
        <v>523</v>
      </c>
      <c r="B20" s="52">
        <v>30</v>
      </c>
      <c r="C20" s="17" t="s">
        <v>524</v>
      </c>
    </row>
    <row r="21" spans="1:3" ns3:dyDescent="0.2">
      <c r="A21" s="44" t="s">
        <v>525</v>
      </c>
      <c r="B21" s="52">
        <v>32</v>
      </c>
      <c r="C21" s="17" t="s">
        <v>526</v>
      </c>
    </row>
    <row r="22" spans="1:3" ns3:dyDescent="0.2">
      <c r="A22" s="44" t="s">
        <v>527</v>
      </c>
      <c r="B22" s="52">
        <v>16</v>
      </c>
      <c r="C22" s="17" t="s">
        <v>528</v>
      </c>
    </row>
    <row r="23" spans="1:3" ns3:dyDescent="0.2">
      <c r="A23" s="19" t="s">
        <v>529</v>
      </c>
      <c r="B23" s="51">
        <v>0.3</v>
      </c>
      <c r="C23" s="15"/>
    </row>
    <row r="24" spans="1:3" ns3:dyDescent="0.2">
      <c r="A24" s="17" t="s">
        <v>530</v>
      </c>
      <c r="B24" s="52">
        <v>1000</v>
      </c>
      <c r="C24" s="17" t="s">
        <v>531</v>
      </c>
    </row>
    <row r="25" spans="1:3" ns3:dyDescent="0.2">
      <c r="A25" s="17" t="s">
        <v>532</v>
      </c>
      <c r="B25" s="52">
        <v>500</v>
      </c>
      <c r="C25" s="17" t="s">
        <v>533</v>
      </c>
    </row>
    <row r="26" spans="1:3" ns3:dyDescent="0.2">
      <c r="A26" s="17" t="s">
        <v>534</v>
      </c>
      <c r="B26" s="52">
        <v>600</v>
      </c>
      <c r="C26" s="17" t="s">
        <v>531</v>
      </c>
    </row>
    <row r="27" spans="1:3" ns3:dyDescent="0.2">
      <c r="A27" s="17" t="s">
        <v>535</v>
      </c>
      <c r="B27" s="52">
        <v>250</v>
      </c>
      <c r="C27" s="17" t="s">
        <v>531</v>
      </c>
    </row>
    <row r="28" spans="1:3" ns3:dyDescent="0.2">
      <c r="A28" s="17" t="s">
        <v>536</v>
      </c>
      <c r="B28" s="52">
        <v>300</v>
      </c>
      <c r="C28" s="17" t="s">
        <v>531</v>
      </c>
    </row>
    <row r="29" spans="1:3" ns3:dyDescent="0.2">
      <c r="A29" s="17" t="s">
        <v>537</v>
      </c>
      <c r="B29" s="52">
        <v>4000</v>
      </c>
      <c r="C29" s="17" t="s">
        <v>531</v>
      </c>
    </row>
    <row r="30" spans="1:3" ns3:dyDescent="0.2">
      <c r="A30" s="17" t="s">
        <v>538</v>
      </c>
      <c r="B30" s="52">
        <v>6500</v>
      </c>
      <c r="C30" s="17" t="s">
        <v>531</v>
      </c>
    </row>
    <row r="31" spans="1:3" ns3:dyDescent="0.2">
      <c r="A31" s="17" t="s">
        <v>539</v>
      </c>
      <c r="B31" s="52">
        <v>600</v>
      </c>
      <c r="C31" s="17" t="s">
        <v>531</v>
      </c>
    </row>
    <row r="32" spans="1:3" ns3:dyDescent="0.2">
      <c r="A32" s="15"/>
      <c r="B32" s="53"/>
      <c r="C32" s="15"/>
    </row>
    <row r="33" spans="1:3" ns3:dyDescent="0.2">
      <c r="A33" s="16" t="s">
        <v>540</v>
      </c>
      <c r="B33" s="53"/>
      <c r="C33" s="15"/>
    </row>
    <row r="34" spans="1:3" ns3:dyDescent="0.2">
      <c r="A34" s="17" t="s">
        <v>541</v>
      </c>
      <c r="B34" s="52">
        <v>40000000</v>
      </c>
      <c r="C34" s="15"/>
    </row>
    <row r="35" spans="1:3" ns3:dyDescent="0.2">
      <c r="A35" s="17" t="s">
        <v>542</v>
      </c>
      <c r="B35" s="51">
        <v>0.05</v>
      </c>
      <c r="C35" s="17" t="s">
        <v>543</v>
      </c>
    </row>
    <row r="36" spans="1:3" ns3:dyDescent="0.2">
      <c r="A36" s="17" t="s">
        <v>544</v>
      </c>
      <c r="B36" s="17" t="s">
        <v>545</v>
      </c>
      <c r="C36" s="15"/>
    </row>
    <row r="37" spans="1:3" ns3:dyDescent="0.2">
      <c r="A37" s="15"/>
      <c r="B37" s="15"/>
      <c r="C37" s="15"/>
    </row>
    <row r="38" spans="1:3" ns3:dyDescent="0.2">
      <c r="A38" s="16" t="s">
        <v>546</v>
      </c>
      <c r="B38" s="52">
        <v>1000</v>
      </c>
      <c r="C38" s="17" t="s">
        <v>531</v>
      </c>
    </row>
  </sheetData>
  <mergeCells count="1">
    <mergeCell ref="A1:B1"/>
  </mergeCells>
  <pageMargins left="0.7" right="0.7" top="0.75" bottom="0.75" header="0.3" footer="0.3"/>
  <pageSetup scale="37" orientation="portrait" ns4:id="rId1"/>
</worksheet>
</file>

<file path=xl/worksheets/sheet5.xml><?xml version="1.0" encoding="utf-8"?>
<worksheet xmlns="http://schemas.openxmlformats.org/spreadsheetml/2006/main" xmlns:ns1="http://schemas.openxmlformats.org/markup-compatibility/2006" xmlns:ns2="http://schemas.microsoft.com/office/spreadsheetml/2014/revision" xmlns:ns3="http://schemas.microsoft.com/office/spreadsheetml/2009/9/ac" xmlns:ns4="http://schemas.openxmlformats.org/officeDocument/2006/relationships" ns1:Ignorable="x14ac xr xr2 xr3" ns2:uid="{DA123FB5-D85A-48E1-A478-9364CFFFB73F}">
  <dimension ref="A2:R42"/>
  <sheetViews>
    <sheetView showGridLines="0" tabSelected="1" zoomScaleNormal="100" workbookViewId="0" topLeftCell="A1">
      <pane ySplit="5" topLeftCell="A15" activePane="bottomLeft" state="frozen"/>
      <selection pane="bottomLeft" activeCell="B2" sqref="B2"/>
    </sheetView>
  </sheetViews>
  <sheetFormatPr defaultRowHeight="12.75" ns3:dyDescent="0.2"/>
  <cols>
    <col min="2" max="2" width="24.7109375" bestFit="1" customWidth="1"/>
    <col min="5" max="5" width="14.5703125" bestFit="1" customWidth="1"/>
    <col min="6" max="16" width="12.85546875" bestFit="1" customWidth="1"/>
    <col min="17" max="17" width="14.5703125" bestFit="1" customWidth="1"/>
    <col min="18" max="18" width="14" bestFit="1" customWidth="1"/>
  </cols>
  <sheetData>
    <row r="2" spans="1:18" ns3:dyDescent="0.2">
      <c r="B2" s="62" t="s">
        <v>547</v>
      </c>
      <c r="C2" s="62"/>
      <c r="D2" s="62"/>
      <c r="E2" s="62"/>
      <c r="F2" s="62"/>
      <c r="G2" s="62"/>
      <c r="H2" s="62"/>
    </row>
    <row r="3" spans="1:18" ns3:dyDescent="0.2">
      <c r="B3" s="63" t="s">
        <v>548</v>
      </c>
      <c r="C3" s="63"/>
    </row>
    <row r="4" spans="1:18" ns3:dyDescent="0.2">
      <c r="A4" s="15"/>
      <c r="B4" s="15"/>
      <c r="C4" s="15"/>
      <c r="D4" s="15"/>
      <c r="E4" s="64" t="s">
        <v>549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18" ns3:dyDescent="0.2">
      <c r="A5" s="15"/>
      <c r="B5" s="16" t="s">
        <v>550</v>
      </c>
      <c r="C5" s="15"/>
      <c r="D5" s="15"/>
      <c r="E5" s="28">
        <v>46023</v>
      </c>
      <c r="F5" s="28">
        <f>EDATE(E5,1)</f>
        <v>46054</v>
      </c>
      <c r="G5" s="28">
        <f t="shared" ref="G5:P5" si="0">EDATE(F5,1)</f>
        <v>46082</v>
      </c>
      <c r="H5" s="28">
        <f t="shared" si="0"/>
        <v>46113</v>
      </c>
      <c r="I5" s="28">
        <f t="shared" si="0"/>
        <v>46143</v>
      </c>
      <c r="J5" s="28">
        <f t="shared" si="0"/>
        <v>46174</v>
      </c>
      <c r="K5" s="28">
        <f t="shared" si="0"/>
        <v>46204</v>
      </c>
      <c r="L5" s="28">
        <f t="shared" si="0"/>
        <v>46235</v>
      </c>
      <c r="M5" s="28">
        <f t="shared" si="0"/>
        <v>46266</v>
      </c>
      <c r="N5" s="28">
        <f t="shared" si="0"/>
        <v>46296</v>
      </c>
      <c r="O5" s="28">
        <f t="shared" si="0"/>
        <v>46327</v>
      </c>
      <c r="P5" s="28">
        <f t="shared" si="0"/>
        <v>46357</v>
      </c>
      <c r="Q5" s="56" t="s">
        <v>551</v>
      </c>
    </row>
    <row r="6" spans="1:18" ns3:dyDescent="0.2">
      <c r="B6" s="23" t="s">
        <v>552</v>
      </c>
      <c r="Q6" s="54"/>
    </row>
    <row r="7" spans="1:18" ns3:dyDescent="0.2">
      <c r="B7" s="26" t="s">
        <v>553</v>
      </c>
      <c r="E7" s="20">
        <f>Sheet2!$D$7*(1+Assumptions!$B$3)^(MONTH('Monthly Forecast'!E5)/12)</f>
        <v>3997.9018571868769</v>
      </c>
      <c r="F7" s="20">
        <f>Sheet2!$D$7*(1+Assumptions!$B$3)^(MONTH('Monthly Forecast'!F5)/12)</f>
        <v>4014.1898042279331</v>
      </c>
      <c r="G7" s="20">
        <f>Sheet2!$D$7*(1+Assumptions!$B$3)^(MONTH('Monthly Forecast'!G5)/12)</f>
        <v>4030.5441103814173</v>
      </c>
      <c r="H7" s="20">
        <f>Sheet2!$D$7*(1+Assumptions!$B$3)^(MONTH('Monthly Forecast'!H5)/12)</f>
        <v>4046.9650460025659</v>
      </c>
      <c r="I7" s="20">
        <f>Sheet2!$D$7*(1+Assumptions!$B$3)^(MONTH('Monthly Forecast'!I5)/12)</f>
        <v>4063.4528825480775</v>
      </c>
      <c r="J7" s="20">
        <f>Sheet2!$D$7*(1+Assumptions!$B$3)^(MONTH('Monthly Forecast'!J5)/12)</f>
        <v>4080.0078925806015</v>
      </c>
      <c r="K7" s="20">
        <f>Sheet2!$D$7*(1+Assumptions!$B$3)^(MONTH('Monthly Forecast'!K5)/12)</f>
        <v>4096.630349773237</v>
      </c>
      <c r="L7" s="20">
        <f>Sheet2!$D$7*(1+Assumptions!$B$3)^(MONTH('Monthly Forecast'!L5)/12)</f>
        <v>4113.3205289140633</v>
      </c>
      <c r="M7" s="20">
        <f>Sheet2!$D$7*(1+Assumptions!$B$3)^(MONTH('Monthly Forecast'!M5)/12)</f>
        <v>4130.0787059106806</v>
      </c>
      <c r="N7" s="20">
        <f>Sheet2!$D$7*(1+Assumptions!$B$3)^(MONTH('Monthly Forecast'!N5)/12)</f>
        <v>4146.9051577947712</v>
      </c>
      <c r="O7" s="20">
        <f>Sheet2!$D$7*(1+Assumptions!$B$3)^(MONTH('Monthly Forecast'!O5)/12)</f>
        <v>4163.8001627266767</v>
      </c>
      <c r="P7" s="20">
        <f>Sheet2!$D$7*(1+Assumptions!$B$3)^(MONTH('Monthly Forecast'!P5)/12)</f>
        <v>4180.7640000000001</v>
      </c>
      <c r="Q7" s="55">
        <f>SUM(E7:P7)</f>
        <v>49064.5604980469</v>
      </c>
    </row>
    <row r="8" spans="1:18" ns3:dyDescent="0.2">
      <c r="B8" s="26" t="s">
        <v>554</v>
      </c>
      <c r="E8" s="20">
        <f>E7*100</f>
        <v>399790.18571868772</v>
      </c>
      <c r="F8" s="20">
        <f t="shared" ref="F8:P8" si="1">F7*100</f>
        <v>401418.98042279331</v>
      </c>
      <c r="G8" s="20">
        <f t="shared" si="1"/>
        <v>403054.41103814176</v>
      </c>
      <c r="H8" s="20">
        <f t="shared" si="1"/>
        <v>404696.50460025657</v>
      </c>
      <c r="I8" s="20">
        <f t="shared" si="1"/>
        <v>406345.28825480776</v>
      </c>
      <c r="J8" s="20">
        <f t="shared" si="1"/>
        <v>408000.78925806016</v>
      </c>
      <c r="K8" s="20">
        <f t="shared" si="1"/>
        <v>409663.03497732372</v>
      </c>
      <c r="L8" s="20">
        <f t="shared" si="1"/>
        <v>411332.05289140635</v>
      </c>
      <c r="M8" s="20">
        <f t="shared" si="1"/>
        <v>413007.87059106806</v>
      </c>
      <c r="N8" s="20">
        <f t="shared" si="1"/>
        <v>414690.51577947714</v>
      </c>
      <c r="O8" s="20">
        <f t="shared" si="1"/>
        <v>416380.01627266768</v>
      </c>
      <c r="P8" s="20">
        <f t="shared" si="1"/>
        <v>418076.4</v>
      </c>
      <c r="Q8" s="55">
        <f>Q7*Sheet3!$C$10</f>
        <v>4906456.0498046903</v>
      </c>
      <c r="R8" s="27"/>
    </row>
    <row r="9" spans="1:18" ns3:dyDescent="0.2">
      <c r="B9" s="26" t="s">
        <v>555</v>
      </c>
      <c r="E9" s="20">
        <f>Sheet2!F7+(Assumptions!B10*(Assumptions!B9*Sheet2!F7))+(Assumptions!B11*('Monthly Forecast'!E7-Sheet2!F7))</f>
        <v>3877.4546702395623</v>
      </c>
      <c r="F9" s="20">
        <f>E9+Sheet1!M113*((Assumptions!B7*Assumptions!B10*'Monthly Forecast'!E9)+(Assumptions!B8*('Monthly Forecast'!F7-'Monthly Forecast'!E9)))</f>
        <v>3879.2548564890626</v>
      </c>
      <c r="G9" s="20">
        <f>F9+Sheet1!M117*((Assumptions!$B$7*Assumptions!$B$10*'Monthly Forecast'!F9)+Assumptions!$B$8*('Monthly Forecast'!G7-'Monthly Forecast'!F9))</f>
        <v>3890.4270678944276</v>
      </c>
      <c r="H9" s="20">
        <f>G9+Sheet1!M111*((Assumptions!$B$7*Assumptions!$B$10*'Monthly Forecast'!G9)+Assumptions!$B$8*('Monthly Forecast'!H7-'Monthly Forecast'!G9))</f>
        <v>3901.7530470489596</v>
      </c>
      <c r="I9" s="20">
        <f>H9+Sheet1!M118*((Assumptions!$B$7*Assumptions!$B$10*'Monthly Forecast'!H9)+Assumptions!$B$8*('Monthly Forecast'!I7-'Monthly Forecast'!H9))</f>
        <v>3930.4476563559779</v>
      </c>
      <c r="J9" s="20">
        <f>I9+Sheet1!M116*((Assumptions!$B$7*Assumptions!$B$10*'Monthly Forecast'!I9)+Assumptions!$B$8*('Monthly Forecast'!J7-'Monthly Forecast'!I9))</f>
        <v>3951.0277907347759</v>
      </c>
      <c r="K9" s="20">
        <f>J9+Sheet1!M115*((Assumptions!$B$7*Assumptions!$B$10*'Monthly Forecast'!J9)+Assumptions!$B$8*('Monthly Forecast'!K7-'Monthly Forecast'!J9))</f>
        <v>3967.7745982720057</v>
      </c>
      <c r="L9" s="20">
        <f>K9+Sheet1!M112*((Assumptions!$B$7*Assumptions!$B$10*'Monthly Forecast'!K9)+Assumptions!$B$8*('Monthly Forecast'!L7-'Monthly Forecast'!K9))</f>
        <v>3980.8352432344782</v>
      </c>
      <c r="M9" s="20">
        <f>L9+Sheet1!M120*((Assumptions!$B$7*Assumptions!$B$10*'Monthly Forecast'!L9)+Assumptions!$B$8*('Monthly Forecast'!M7-'Monthly Forecast'!L9))</f>
        <v>3992.1482395945318</v>
      </c>
      <c r="N9" s="20">
        <f>M9+Sheet1!M119*((Assumptions!$B$7*Assumptions!$B$10*'Monthly Forecast'!M9)+Assumptions!$B$8*('Monthly Forecast'!N7-'Monthly Forecast'!M9))</f>
        <v>3994.0605260626153</v>
      </c>
      <c r="O9" s="20">
        <f>N9+Sheet1!M123*((Assumptions!$B$7*Assumptions!$B$10*'Monthly Forecast'!N9)+Assumptions!$B$8*('Monthly Forecast'!O7-'Monthly Forecast'!N9))</f>
        <v>4019.7482072817475</v>
      </c>
      <c r="P9" s="72">
        <f>O9+Sheet1!M124*((Assumptions!$B$7*Assumptions!$B$10*'Monthly Forecast'!O9)+Assumptions!$B$8*('Monthly Forecast'!P7-'Monthly Forecast'!O9))</f>
        <v>4045.0638275235874</v>
      </c>
      <c r="Q9" s="66">
        <f>SUM(E9:P9)</f>
        <v>47429.995730731745</v>
      </c>
    </row>
    <row r="10" spans="1:18" ns3:dyDescent="0.2">
      <c r="B10" s="26" t="s">
        <v>556</v>
      </c>
      <c r="E10" s="27">
        <f>(E9-E7)*Assumptions!$B$13</f>
        <v>-11442.482759994882</v>
      </c>
      <c r="F10" s="27">
        <f>(F9-F7)*Assumptions!$B$13</f>
        <v>-12818.820035192697</v>
      </c>
      <c r="G10" s="27">
        <f>(G9-G7)*Assumptions!$B$13</f>
        <v>-13311.119036264023</v>
      </c>
      <c r="H10" s="27">
        <f>(H9-H7)*Assumptions!$B$13</f>
        <v>-13795.139900592601</v>
      </c>
      <c r="I10" s="27">
        <f>(I9-I7)*Assumptions!$B$13</f>
        <v>-12635.496488249462</v>
      </c>
      <c r="J10" s="27">
        <f>(J9-J7)*Assumptions!$B$13</f>
        <v>-12253.109675353435</v>
      </c>
      <c r="K10" s="27">
        <f>(K9-K7)*Assumptions!$B$13</f>
        <v>-12241.296392616967</v>
      </c>
      <c r="L10" s="27">
        <f>(L9-L7)*Assumptions!$B$13</f>
        <v>-12586.102139560586</v>
      </c>
      <c r="M10" s="27">
        <f>(M9-M7)*Assumptions!$B$13</f>
        <v>-13103.394300034135</v>
      </c>
      <c r="N10" s="27">
        <f>(N9-N7)*Assumptions!$B$13</f>
        <v>-14520.240014554811</v>
      </c>
      <c r="O10" s="27">
        <f>(O9-O7)*Assumptions!$B$13</f>
        <v>-13684.93576726828</v>
      </c>
      <c r="P10" s="73">
        <f>(P9-P7)*Assumptions!$B$13</f>
        <v>-12891.516385259209</v>
      </c>
      <c r="Q10" s="67">
        <f>SUM(E10:P10)</f>
        <v>-155283.6528949411</v>
      </c>
    </row>
    <row r="11" spans="1:18" ns3:dyDescent="0.2">
      <c r="B11" s="24" t="s">
        <v>557</v>
      </c>
      <c r="E11" s="20">
        <f>-(E8*Assumptions!$B$6)</f>
        <v>-19989.509285934404</v>
      </c>
      <c r="F11" s="20">
        <f>-(F8*Assumptions!$B$6)</f>
        <v>-20070.949021139684</v>
      </c>
      <c r="G11" s="20">
        <f>-(G8*Assumptions!$B$6)</f>
        <v>-20152.720551907107</v>
      </c>
      <c r="H11" s="20">
        <f>-(H8*Assumptions!$B$6)</f>
        <v>-20234.825230012848</v>
      </c>
      <c r="I11" s="20">
        <f>-(I8*Assumptions!$B$6)</f>
        <v>-20317.264412740406</v>
      </c>
      <c r="J11" s="20">
        <f>-(J8*Assumptions!$B$6)</f>
        <v>-20400.039462903027</v>
      </c>
      <c r="K11" s="20">
        <f>-(K8*Assumptions!$B$6)</f>
        <v>-20483.151748866203</v>
      </c>
      <c r="L11" s="20">
        <f>-(L8*Assumptions!$B$6)</f>
        <v>-20566.602644570336</v>
      </c>
      <c r="M11" s="20">
        <f>-(M8*Assumptions!$B$6)</f>
        <v>-20650.393529553421</v>
      </c>
      <c r="N11" s="20">
        <f>-(N8*Assumptions!$B$6)</f>
        <v>-20734.525788973875</v>
      </c>
      <c r="O11" s="20">
        <f>-(O8*Assumptions!$B$6)</f>
        <v>-20819.000813633404</v>
      </c>
      <c r="P11" s="72">
        <f>-(P8*Assumptions!$B$6)</f>
        <v>-20903.820000000022</v>
      </c>
      <c r="Q11" s="67">
        <f>SUM(E11:P11)</f>
        <v>-245322.80249023472</v>
      </c>
    </row>
    <row r="12" spans="1:18" ns3:dyDescent="0.2">
      <c r="B12" s="47" t="s">
        <v>558</v>
      </c>
      <c r="E12" s="48">
        <f>E8+E10+E11</f>
        <v>368358.19367275847</v>
      </c>
      <c r="F12" s="48">
        <f t="shared" ref="F12:P12" si="2">F8+F10+F11</f>
        <v>368529.21136646089</v>
      </c>
      <c r="G12" s="48">
        <f t="shared" si="2"/>
        <v>369590.57144997065</v>
      </c>
      <c r="H12" s="48">
        <f t="shared" si="2"/>
        <v>370666.53946965112</v>
      </c>
      <c r="I12" s="48">
        <f t="shared" si="2"/>
        <v>373392.52735381789</v>
      </c>
      <c r="J12" s="48">
        <f t="shared" si="2"/>
        <v>375347.64011980366</v>
      </c>
      <c r="K12" s="48">
        <f t="shared" si="2"/>
        <v>376938.58683584054</v>
      </c>
      <c r="L12" s="48">
        <f t="shared" si="2"/>
        <v>378179.34810727544</v>
      </c>
      <c r="M12" s="48">
        <f t="shared" si="2"/>
        <v>379254.08276148047</v>
      </c>
      <c r="N12" s="48">
        <f t="shared" si="2"/>
        <v>379435.74997594842</v>
      </c>
      <c r="O12" s="48">
        <f t="shared" si="2"/>
        <v>381876.079691766</v>
      </c>
      <c r="P12" s="74">
        <f t="shared" si="2"/>
        <v>384281.06361474079</v>
      </c>
      <c r="Q12" s="48">
        <f>Q8+Q10+Q11</f>
        <v>4505849.5944195148</v>
      </c>
    </row>
    <row r="13" spans="1:18" ns3:dyDescent="0.2">
      <c r="B13" s="24" t="s">
        <v>500</v>
      </c>
      <c r="E13" s="27">
        <f>-(Assumptions!$B$4/12)</f>
        <v>-4166.666666666667</v>
      </c>
      <c r="F13" s="27">
        <f>-(Assumptions!$B$4/12)</f>
        <v>-4166.666666666667</v>
      </c>
      <c r="G13" s="27">
        <f>-(Assumptions!$B$4/12)</f>
        <v>-4166.666666666667</v>
      </c>
      <c r="H13" s="27">
        <f>-(Assumptions!$B$4/12)</f>
        <v>-4166.666666666667</v>
      </c>
      <c r="I13" s="27">
        <f>-(Assumptions!$B$4/12)</f>
        <v>-4166.666666666667</v>
      </c>
      <c r="J13" s="27">
        <f>-(Assumptions!$B$4/12)</f>
        <v>-4166.666666666667</v>
      </c>
      <c r="K13" s="27">
        <f>-(Assumptions!$B$4/12)</f>
        <v>-4166.666666666667</v>
      </c>
      <c r="L13" s="27">
        <f>-(Assumptions!$B$4/12)</f>
        <v>-4166.666666666667</v>
      </c>
      <c r="M13" s="27">
        <f>-(Assumptions!$B$4/12)</f>
        <v>-4166.666666666667</v>
      </c>
      <c r="N13" s="27">
        <f>-(Assumptions!$B$4/12)</f>
        <v>-4166.666666666667</v>
      </c>
      <c r="O13" s="27">
        <f>-(Assumptions!$B$4/12)</f>
        <v>-4166.666666666667</v>
      </c>
      <c r="P13" s="73">
        <f>-(Assumptions!$B$4/12)</f>
        <v>-4166.666666666667</v>
      </c>
      <c r="Q13" s="67">
        <f>SUM(E13:P13)</f>
        <v>-49999.999999999993</v>
      </c>
    </row>
    <row r="14" spans="1:18" ns3:dyDescent="0.2">
      <c r="B14" s="24" t="s">
        <v>559</v>
      </c>
      <c r="E14" s="27">
        <f>-(Assumptions!$B$12*'Monthly Forecast'!E27)</f>
        <v>25750</v>
      </c>
      <c r="F14" s="27">
        <f>-(Assumptions!$B$12*'Monthly Forecast'!F27)</f>
        <v>25750</v>
      </c>
      <c r="G14" s="27">
        <f>-(Assumptions!$B$12*'Monthly Forecast'!G27)</f>
        <v>25750</v>
      </c>
      <c r="H14" s="27">
        <f>-(Assumptions!$B$12*'Monthly Forecast'!H27)</f>
        <v>25750</v>
      </c>
      <c r="I14" s="27">
        <f>-(Assumptions!$B$12*'Monthly Forecast'!I27)</f>
        <v>25750</v>
      </c>
      <c r="J14" s="27">
        <f>-(Assumptions!$B$12*'Monthly Forecast'!J27)</f>
        <v>25750</v>
      </c>
      <c r="K14" s="27">
        <f>-(Assumptions!$B$12*'Monthly Forecast'!K27)</f>
        <v>25750</v>
      </c>
      <c r="L14" s="27">
        <f>-(Assumptions!$B$12*'Monthly Forecast'!L27)</f>
        <v>25750</v>
      </c>
      <c r="M14" s="27">
        <f>-(Assumptions!$B$12*'Monthly Forecast'!M27)</f>
        <v>25750</v>
      </c>
      <c r="N14" s="27">
        <f>-(Assumptions!$B$12*'Monthly Forecast'!N27)</f>
        <v>25750</v>
      </c>
      <c r="O14" s="27">
        <f>-(Assumptions!$B$12*'Monthly Forecast'!O27)</f>
        <v>25750</v>
      </c>
      <c r="P14" s="73">
        <f>-(Assumptions!$B$12*'Monthly Forecast'!P27)</f>
        <v>25750</v>
      </c>
      <c r="Q14" s="67">
        <f>SUM(E14:P14)</f>
        <v>309000</v>
      </c>
    </row>
    <row r="15" spans="1:18" ns3:dyDescent="0.2">
      <c r="B15" s="16" t="s">
        <v>560</v>
      </c>
      <c r="E15" s="45">
        <f>SUM(E12:E14)</f>
        <v>389941.52700609178</v>
      </c>
      <c r="F15" s="45">
        <f t="shared" ref="F15:P15" si="3">SUM(F12:F14)</f>
        <v>390112.54469979421</v>
      </c>
      <c r="G15" s="45">
        <f t="shared" si="3"/>
        <v>391173.90478330397</v>
      </c>
      <c r="H15" s="45">
        <f t="shared" si="3"/>
        <v>392249.87280298444</v>
      </c>
      <c r="I15" s="45">
        <f t="shared" si="3"/>
        <v>394975.8606871512</v>
      </c>
      <c r="J15" s="45">
        <f t="shared" si="3"/>
        <v>396930.97345313698</v>
      </c>
      <c r="K15" s="45">
        <f t="shared" si="3"/>
        <v>398521.92016917386</v>
      </c>
      <c r="L15" s="45">
        <f t="shared" si="3"/>
        <v>399762.68144060875</v>
      </c>
      <c r="M15" s="45">
        <f t="shared" si="3"/>
        <v>400837.41609481379</v>
      </c>
      <c r="N15" s="45">
        <f t="shared" si="3"/>
        <v>401019.08330928173</v>
      </c>
      <c r="O15" s="45">
        <f t="shared" si="3"/>
        <v>403459.41302509932</v>
      </c>
      <c r="P15" s="65">
        <f t="shared" si="3"/>
        <v>405864.39694807411</v>
      </c>
      <c r="Q15" s="45">
        <f>SUM(Q12:Q14)</f>
        <v>4764849.5944195148</v>
      </c>
    </row>
    <row r="16" spans="1:18" ns3:dyDescent="0.2">
      <c r="P16" s="75"/>
      <c r="Q16" s="68"/>
    </row>
    <row r="17" spans="2:18" ns3:dyDescent="0.2">
      <c r="B17" s="23" t="s">
        <v>561</v>
      </c>
      <c r="P17" s="75"/>
      <c r="Q17" s="68"/>
    </row>
    <row r="18" spans="2:18" ns3:dyDescent="0.2">
      <c r="B18" s="24" t="s">
        <v>562</v>
      </c>
      <c r="P18" s="75"/>
      <c r="Q18" s="68"/>
    </row>
    <row r="19" spans="2:18" ns3:dyDescent="0.2">
      <c r="B19" s="43" t="s">
        <v>523</v>
      </c>
      <c r="E19" s="20">
        <f>-(((Assumptions!$B$20*80*52)*(1+Assumptions!$B$23))/12)*(1+Assumptions!$B$17)</f>
        <v>-13925.6</v>
      </c>
      <c r="F19" s="20">
        <f>-(((Assumptions!$B$20*80*52)*(1+Assumptions!$B$23))/12)*(1+Assumptions!$B$17)</f>
        <v>-13925.6</v>
      </c>
      <c r="G19" s="20">
        <f>-(((Assumptions!$B$20*80*52)*(1+Assumptions!$B$23))/12)*(1+Assumptions!$B$17)</f>
        <v>-13925.6</v>
      </c>
      <c r="H19" s="20">
        <f>-(((Assumptions!$B$20*80*52)*(1+Assumptions!$B$23))/12)*(1+Assumptions!$B$17)</f>
        <v>-13925.6</v>
      </c>
      <c r="I19" s="20">
        <f>-(((Assumptions!$B$20*80*52)*(1+Assumptions!$B$23))/12)*(1+Assumptions!$B$17)</f>
        <v>-13925.6</v>
      </c>
      <c r="J19" s="20">
        <f>-(((Assumptions!$B$20*80*52)*(1+Assumptions!$B$23))/12)*(1+Assumptions!$B$17)</f>
        <v>-13925.6</v>
      </c>
      <c r="K19" s="20">
        <f>-(((Assumptions!$B$20*80*52)*(1+Assumptions!$B$23))/12)*(1+Assumptions!$B$17)</f>
        <v>-13925.6</v>
      </c>
      <c r="L19" s="20">
        <f>-(((Assumptions!$B$20*80*52)*(1+Assumptions!$B$23))/12)*(1+Assumptions!$B$17)</f>
        <v>-13925.6</v>
      </c>
      <c r="M19" s="20">
        <f>-(((Assumptions!$B$20*80*52)*(1+Assumptions!$B$23))/12)*(1+Assumptions!$B$17)</f>
        <v>-13925.6</v>
      </c>
      <c r="N19" s="20">
        <f>-(((Assumptions!$B$20*80*52)*(1+Assumptions!$B$23))/12)*(1+Assumptions!$B$17)</f>
        <v>-13925.6</v>
      </c>
      <c r="O19" s="20">
        <f>-(((Assumptions!$B$20*80*52)*(1+Assumptions!$B$23))/12)*(1+Assumptions!$B$17)</f>
        <v>-13925.6</v>
      </c>
      <c r="P19" s="72">
        <f>-(((Assumptions!$B$20*80*52)*(1+Assumptions!$B$23))/12)*(1+Assumptions!$B$17)</f>
        <v>-13925.6</v>
      </c>
      <c r="Q19" s="67">
        <f>SUM(E19:P19)</f>
        <v>-167107.20000000004</v>
      </c>
    </row>
    <row r="20" spans="2:18" ns3:dyDescent="0.2">
      <c r="B20" s="43" t="s">
        <v>525</v>
      </c>
      <c r="E20" s="20">
        <f>-(((Assumptions!$B$21*80*52)*(1+Assumptions!$B$23))/12)*(1+Assumptions!$B$17)</f>
        <v>-14853.973333333335</v>
      </c>
      <c r="F20" s="20">
        <f>-(((Assumptions!$B$21*80*52)*(1+Assumptions!$B$23))/12)*(1+Assumptions!$B$17)</f>
        <v>-14853.973333333335</v>
      </c>
      <c r="G20" s="20">
        <f>-(((Assumptions!$B$21*80*52)*(1+Assumptions!$B$23))/12)*(1+Assumptions!$B$17)</f>
        <v>-14853.973333333335</v>
      </c>
      <c r="H20" s="20">
        <f>-(((Assumptions!$B$21*80*52)*(1+Assumptions!$B$23))/12)*(1+Assumptions!$B$17)</f>
        <v>-14853.973333333335</v>
      </c>
      <c r="I20" s="20">
        <f>-(((Assumptions!$B$21*80*52)*(1+Assumptions!$B$23))/12)*(1+Assumptions!$B$17)</f>
        <v>-14853.973333333335</v>
      </c>
      <c r="J20" s="20">
        <f>-(((Assumptions!$B$21*80*52)*(1+Assumptions!$B$23))/12)*(1+Assumptions!$B$17)</f>
        <v>-14853.973333333335</v>
      </c>
      <c r="K20" s="20">
        <f>-(((Assumptions!$B$21*80*52)*(1+Assumptions!$B$23))/12)*(1+Assumptions!$B$17)</f>
        <v>-14853.973333333335</v>
      </c>
      <c r="L20" s="20">
        <f>-(((Assumptions!$B$21*80*52)*(1+Assumptions!$B$23))/12)*(1+Assumptions!$B$17)</f>
        <v>-14853.973333333335</v>
      </c>
      <c r="M20" s="20">
        <f>-(((Assumptions!$B$21*80*52)*(1+Assumptions!$B$23))/12)*(1+Assumptions!$B$17)</f>
        <v>-14853.973333333335</v>
      </c>
      <c r="N20" s="20">
        <f>-(((Assumptions!$B$21*80*52)*(1+Assumptions!$B$23))/12)*(1+Assumptions!$B$17)</f>
        <v>-14853.973333333335</v>
      </c>
      <c r="O20" s="20">
        <f>-(((Assumptions!$B$21*80*52)*(1+Assumptions!$B$23))/12)*(1+Assumptions!$B$17)</f>
        <v>-14853.973333333335</v>
      </c>
      <c r="P20" s="72">
        <f>-(((Assumptions!$B$21*80*52)*(1+Assumptions!$B$23))/12)*(1+Assumptions!$B$17)</f>
        <v>-14853.973333333335</v>
      </c>
      <c r="Q20" s="67">
        <f t="shared" ref="Q20:Q30" si="4">SUM(E20:P20)</f>
        <v>-178247.67999999996</v>
      </c>
    </row>
    <row r="21" spans="2:18" ns3:dyDescent="0.2">
      <c r="B21" s="43" t="s">
        <v>527</v>
      </c>
      <c r="E21" s="20">
        <f>-(((Assumptions!$B$22*20*52)*(1+Assumptions!$B$23))/12)*(1+Assumptions!$B$17)</f>
        <v>-1856.7466666666669</v>
      </c>
      <c r="F21" s="20">
        <f>-(((Assumptions!$B$22*20*52)*(1+Assumptions!$B$23))/12)*(1+Assumptions!$B$17)</f>
        <v>-1856.7466666666669</v>
      </c>
      <c r="G21" s="20">
        <f>-(((Assumptions!$B$22*20*52)*(1+Assumptions!$B$23))/12)*(1+Assumptions!$B$17)</f>
        <v>-1856.7466666666669</v>
      </c>
      <c r="H21" s="20">
        <f>-(((Assumptions!$B$22*20*52)*(1+Assumptions!$B$23))/12)*(1+Assumptions!$B$17)</f>
        <v>-1856.7466666666669</v>
      </c>
      <c r="I21" s="20">
        <f>-(((Assumptions!$B$22*20*52)*(1+Assumptions!$B$23))/12)*(1+Assumptions!$B$17)</f>
        <v>-1856.7466666666669</v>
      </c>
      <c r="J21" s="20">
        <f>-(((Assumptions!$B$22*20*52)*(1+Assumptions!$B$23))/12)*(1+Assumptions!$B$17)</f>
        <v>-1856.7466666666669</v>
      </c>
      <c r="K21" s="20">
        <f>-(((Assumptions!$B$22*20*52)*(1+Assumptions!$B$23))/12)*(1+Assumptions!$B$17)</f>
        <v>-1856.7466666666669</v>
      </c>
      <c r="L21" s="20">
        <f>-(((Assumptions!$B$22*20*52)*(1+Assumptions!$B$23))/12)*(1+Assumptions!$B$17)</f>
        <v>-1856.7466666666669</v>
      </c>
      <c r="M21" s="20">
        <f>-(((Assumptions!$B$22*20*52)*(1+Assumptions!$B$23))/12)*(1+Assumptions!$B$17)</f>
        <v>-1856.7466666666669</v>
      </c>
      <c r="N21" s="20">
        <f>-(((Assumptions!$B$22*20*52)*(1+Assumptions!$B$23))/12)*(1+Assumptions!$B$17)</f>
        <v>-1856.7466666666669</v>
      </c>
      <c r="O21" s="20">
        <f>-(((Assumptions!$B$22*20*52)*(1+Assumptions!$B$23))/12)*(1+Assumptions!$B$17)</f>
        <v>-1856.7466666666669</v>
      </c>
      <c r="P21" s="72">
        <f>-(((Assumptions!$B$22*20*52)*(1+Assumptions!$B$23))/12)*(1+Assumptions!$B$17)</f>
        <v>-1856.7466666666669</v>
      </c>
      <c r="Q21" s="67">
        <f t="shared" si="4"/>
        <v>-22280.959999999995</v>
      </c>
    </row>
    <row r="22" spans="2:18" ns3:dyDescent="0.2">
      <c r="B22" s="24" t="s">
        <v>563</v>
      </c>
      <c r="E22" s="27">
        <f>-((Assumptions!$B$24*Sheet3!$C$10)/12)*(1+Assumptions!$B$17)</f>
        <v>-8583.3333333333339</v>
      </c>
      <c r="F22" s="27">
        <f>-((Assumptions!$B$24*Sheet3!$C$10)/12)*(1+Assumptions!$B$17)</f>
        <v>-8583.3333333333339</v>
      </c>
      <c r="G22" s="27">
        <f>-((Assumptions!$B$24*Sheet3!$C$10)/12)*(1+Assumptions!$B$17)</f>
        <v>-8583.3333333333339</v>
      </c>
      <c r="H22" s="27">
        <f>-((Assumptions!$B$24*Sheet3!$C$10)/12)*(1+Assumptions!$B$17)</f>
        <v>-8583.3333333333339</v>
      </c>
      <c r="I22" s="27">
        <f>-((Assumptions!$B$24*Sheet3!$C$10)/12)*(1+Assumptions!$B$17)</f>
        <v>-8583.3333333333339</v>
      </c>
      <c r="J22" s="27">
        <f>-((Assumptions!$B$24*Sheet3!$C$10)/12)*(1+Assumptions!$B$17)</f>
        <v>-8583.3333333333339</v>
      </c>
      <c r="K22" s="27">
        <f>-((Assumptions!$B$24*Sheet3!$C$10)/12)*(1+Assumptions!$B$17)</f>
        <v>-8583.3333333333339</v>
      </c>
      <c r="L22" s="27">
        <f>-((Assumptions!$B$24*Sheet3!$C$10)/12)*(1+Assumptions!$B$17)</f>
        <v>-8583.3333333333339</v>
      </c>
      <c r="M22" s="27">
        <f>-((Assumptions!$B$24*Sheet3!$C$10)/12)*(1+Assumptions!$B$17)</f>
        <v>-8583.3333333333339</v>
      </c>
      <c r="N22" s="27">
        <f>-((Assumptions!$B$24*Sheet3!$C$10)/12)*(1+Assumptions!$B$17)</f>
        <v>-8583.3333333333339</v>
      </c>
      <c r="O22" s="27">
        <f>-((Assumptions!$B$24*Sheet3!$C$10)/12)*(1+Assumptions!$B$17)</f>
        <v>-8583.3333333333339</v>
      </c>
      <c r="P22" s="73">
        <f>-((Assumptions!$B$24*Sheet3!$C$10)/12)*(1+Assumptions!$B$17)</f>
        <v>-8583.3333333333339</v>
      </c>
      <c r="Q22" s="67">
        <f t="shared" si="4"/>
        <v>-102999.99999999999</v>
      </c>
    </row>
    <row r="23" spans="2:18" ns3:dyDescent="0.2">
      <c r="B23" s="24" t="s">
        <v>532</v>
      </c>
      <c r="E23" s="27">
        <f>-(((Sheet3!$C$10*Assumptions!$B$5*Assumptions!$B$8)*(Assumptions!$B$25))/12)*(1+Assumptions!$B$17)</f>
        <v>-1630.8333333333333</v>
      </c>
      <c r="F23" s="27">
        <f>-(((Sheet3!$C$10*Assumptions!$B$5*Assumptions!$B$8)*(Assumptions!$B$25))/12)*(1+Assumptions!$B$17)</f>
        <v>-1630.8333333333333</v>
      </c>
      <c r="G23" s="27">
        <f>-(((Sheet3!$C$10*Assumptions!$B$5*Assumptions!$B$8)*(Assumptions!$B$25))/12)*(1+Assumptions!$B$17)</f>
        <v>-1630.8333333333333</v>
      </c>
      <c r="H23" s="27">
        <f>-(((Sheet3!$C$10*Assumptions!$B$5*Assumptions!$B$8)*(Assumptions!$B$25))/12)*(1+Assumptions!$B$17)</f>
        <v>-1630.8333333333333</v>
      </c>
      <c r="I23" s="27">
        <f>-(((Sheet3!$C$10*Assumptions!$B$5*Assumptions!$B$8)*(Assumptions!$B$25))/12)*(1+Assumptions!$B$17)</f>
        <v>-1630.8333333333333</v>
      </c>
      <c r="J23" s="27">
        <f>-(((Sheet3!$C$10*Assumptions!$B$5*Assumptions!$B$8)*(Assumptions!$B$25))/12)*(1+Assumptions!$B$17)</f>
        <v>-1630.8333333333333</v>
      </c>
      <c r="K23" s="27">
        <f>-(((Sheet3!$C$10*Assumptions!$B$5*Assumptions!$B$8)*(Assumptions!$B$25))/12)*(1+Assumptions!$B$17)</f>
        <v>-1630.8333333333333</v>
      </c>
      <c r="L23" s="27">
        <f>-(((Sheet3!$C$10*Assumptions!$B$5*Assumptions!$B$8)*(Assumptions!$B$25))/12)*(1+Assumptions!$B$17)</f>
        <v>-1630.8333333333333</v>
      </c>
      <c r="M23" s="27">
        <f>-(((Sheet3!$C$10*Assumptions!$B$5*Assumptions!$B$8)*(Assumptions!$B$25))/12)*(1+Assumptions!$B$17)</f>
        <v>-1630.8333333333333</v>
      </c>
      <c r="N23" s="27">
        <f>-(((Sheet3!$C$10*Assumptions!$B$5*Assumptions!$B$8)*(Assumptions!$B$25))/12)*(1+Assumptions!$B$17)</f>
        <v>-1630.8333333333333</v>
      </c>
      <c r="O23" s="27">
        <f>-(((Sheet3!$C$10*Assumptions!$B$5*Assumptions!$B$8)*(Assumptions!$B$25))/12)*(1+Assumptions!$B$17)</f>
        <v>-1630.8333333333333</v>
      </c>
      <c r="P23" s="73">
        <f>-(((Sheet3!$C$10*Assumptions!$B$5*Assumptions!$B$8)*(Assumptions!$B$25))/12)*(1+Assumptions!$B$17)</f>
        <v>-1630.8333333333333</v>
      </c>
      <c r="Q23" s="67">
        <f t="shared" si="4"/>
        <v>-19570</v>
      </c>
    </row>
    <row r="24" spans="2:18" ns3:dyDescent="0.2">
      <c r="B24" s="24" t="s">
        <v>564</v>
      </c>
      <c r="E24" s="27">
        <f>-((Assumptions!$B$26*Sheet3!$C$10)/12)*(1+Assumptions!$B$17)</f>
        <v>-5150</v>
      </c>
      <c r="F24" s="27">
        <f>-((Assumptions!$B$26*Sheet3!$C$10)/12)*(1+Assumptions!$B$17)</f>
        <v>-5150</v>
      </c>
      <c r="G24" s="27">
        <f>-((Assumptions!$B$26*Sheet3!$C$10)/12)*(1+Assumptions!$B$17)</f>
        <v>-5150</v>
      </c>
      <c r="H24" s="27">
        <f>-((Assumptions!$B$26*Sheet3!$C$10)/12)*(1+Assumptions!$B$17)</f>
        <v>-5150</v>
      </c>
      <c r="I24" s="27">
        <f>-((Assumptions!$B$26*Sheet3!$C$10)/12)*(1+Assumptions!$B$17)</f>
        <v>-5150</v>
      </c>
      <c r="J24" s="27">
        <f>-((Assumptions!$B$26*Sheet3!$C$10)/12)*(1+Assumptions!$B$17)</f>
        <v>-5150</v>
      </c>
      <c r="K24" s="27">
        <f>-((Assumptions!$B$26*Sheet3!$C$10)/12)*(1+Assumptions!$B$17)</f>
        <v>-5150</v>
      </c>
      <c r="L24" s="27">
        <f>-((Assumptions!$B$26*Sheet3!$C$10)/12)*(1+Assumptions!$B$17)</f>
        <v>-5150</v>
      </c>
      <c r="M24" s="27">
        <f>-((Assumptions!$B$26*Sheet3!$C$10)/12)*(1+Assumptions!$B$17)</f>
        <v>-5150</v>
      </c>
      <c r="N24" s="27">
        <f>-((Assumptions!$B$26*Sheet3!$C$10)/12)*(1+Assumptions!$B$17)</f>
        <v>-5150</v>
      </c>
      <c r="O24" s="27">
        <f>-((Assumptions!$B$26*Sheet3!$C$10)/12)*(1+Assumptions!$B$17)</f>
        <v>-5150</v>
      </c>
      <c r="P24" s="73">
        <f>-((Assumptions!$B$26*Sheet3!$C$10)/12)*(1+Assumptions!$B$17)</f>
        <v>-5150</v>
      </c>
      <c r="Q24" s="67">
        <f t="shared" si="4"/>
        <v>-61800</v>
      </c>
    </row>
    <row r="25" spans="2:18" ns3:dyDescent="0.2">
      <c r="B25" s="24" t="s">
        <v>535</v>
      </c>
      <c r="E25" s="27">
        <f>-((Assumptions!$B$27*Sheet3!$C$10)/12)*(1+Assumptions!$B$17)</f>
        <v>-2145.8333333333335</v>
      </c>
      <c r="F25" s="27">
        <f>-((Assumptions!$B$27*Sheet3!$C$10)/12)*(1+Assumptions!$B$17)</f>
        <v>-2145.8333333333335</v>
      </c>
      <c r="G25" s="27">
        <f>-((Assumptions!$B$27*Sheet3!$C$10)/12)*(1+Assumptions!$B$17)</f>
        <v>-2145.8333333333335</v>
      </c>
      <c r="H25" s="27">
        <f>-((Assumptions!$B$27*Sheet3!$C$10)/12)*(1+Assumptions!$B$17)</f>
        <v>-2145.8333333333335</v>
      </c>
      <c r="I25" s="27">
        <f>-((Assumptions!$B$27*Sheet3!$C$10)/12)*(1+Assumptions!$B$17)</f>
        <v>-2145.8333333333335</v>
      </c>
      <c r="J25" s="27">
        <f>-((Assumptions!$B$27*Sheet3!$C$10)/12)*(1+Assumptions!$B$17)</f>
        <v>-2145.8333333333335</v>
      </c>
      <c r="K25" s="27">
        <f>-((Assumptions!$B$27*Sheet3!$C$10)/12)*(1+Assumptions!$B$17)</f>
        <v>-2145.8333333333335</v>
      </c>
      <c r="L25" s="27">
        <f>-((Assumptions!$B$27*Sheet3!$C$10)/12)*(1+Assumptions!$B$17)</f>
        <v>-2145.8333333333335</v>
      </c>
      <c r="M25" s="27">
        <f>-((Assumptions!$B$27*Sheet3!$C$10)/12)*(1+Assumptions!$B$17)</f>
        <v>-2145.8333333333335</v>
      </c>
      <c r="N25" s="27">
        <f>-((Assumptions!$B$27*Sheet3!$C$10)/12)*(1+Assumptions!$B$17)</f>
        <v>-2145.8333333333335</v>
      </c>
      <c r="O25" s="27">
        <f>-((Assumptions!$B$27*Sheet3!$C$10)/12)*(1+Assumptions!$B$17)</f>
        <v>-2145.8333333333335</v>
      </c>
      <c r="P25" s="73">
        <f>-((Assumptions!$B$27*Sheet3!$C$10)/12)*(1+Assumptions!$B$17)</f>
        <v>-2145.8333333333335</v>
      </c>
      <c r="Q25" s="67">
        <f t="shared" si="4"/>
        <v>-25749.999999999996</v>
      </c>
    </row>
    <row r="26" spans="2:18" ns3:dyDescent="0.2">
      <c r="B26" s="24" t="s">
        <v>536</v>
      </c>
      <c r="E26" s="27">
        <f>-((Assumptions!$B$28*Sheet3!$C$10)/12)*(1+Assumptions!$B$17)</f>
        <v>-2575</v>
      </c>
      <c r="F26" s="27">
        <f>-((Assumptions!$B$28*Sheet3!$C$10)/12)*(1+Assumptions!$B$17)</f>
        <v>-2575</v>
      </c>
      <c r="G26" s="27">
        <f>-((Assumptions!$B$28*Sheet3!$C$10)/12)*(1+Assumptions!$B$17)</f>
        <v>-2575</v>
      </c>
      <c r="H26" s="27">
        <f>-((Assumptions!$B$28*Sheet3!$C$10)/12)*(1+Assumptions!$B$17)</f>
        <v>-2575</v>
      </c>
      <c r="I26" s="27">
        <f>-((Assumptions!$B$28*Sheet3!$C$10)/12)*(1+Assumptions!$B$17)</f>
        <v>-2575</v>
      </c>
      <c r="J26" s="27">
        <f>-((Assumptions!$B$28*Sheet3!$C$10)/12)*(1+Assumptions!$B$17)</f>
        <v>-2575</v>
      </c>
      <c r="K26" s="27">
        <f>-((Assumptions!$B$28*Sheet3!$C$10)/12)*(1+Assumptions!$B$17)</f>
        <v>-2575</v>
      </c>
      <c r="L26" s="27">
        <f>-((Assumptions!$B$28*Sheet3!$C$10)/12)*(1+Assumptions!$B$17)</f>
        <v>-2575</v>
      </c>
      <c r="M26" s="27">
        <f>-((Assumptions!$B$28*Sheet3!$C$10)/12)*(1+Assumptions!$B$17)</f>
        <v>-2575</v>
      </c>
      <c r="N26" s="27">
        <f>-((Assumptions!$B$28*Sheet3!$C$10)/12)*(1+Assumptions!$B$17)</f>
        <v>-2575</v>
      </c>
      <c r="O26" s="27">
        <f>-((Assumptions!$B$28*Sheet3!$C$10)/12)*(1+Assumptions!$B$17)</f>
        <v>-2575</v>
      </c>
      <c r="P26" s="73">
        <f>-((Assumptions!$B$28*Sheet3!$C$10)/12)*(1+Assumptions!$B$17)</f>
        <v>-2575</v>
      </c>
      <c r="Q26" s="67">
        <f t="shared" si="4"/>
        <v>-30900</v>
      </c>
    </row>
    <row r="27" spans="2:18" ns3:dyDescent="0.2">
      <c r="B27" s="24" t="s">
        <v>565</v>
      </c>
      <c r="E27" s="27">
        <f>-((Assumptions!$B$29*Sheet3!$C$10)/12)*(1+Assumptions!$B$17)</f>
        <v>-34333.333333333336</v>
      </c>
      <c r="F27" s="27">
        <f>-((Assumptions!$B$29*Sheet3!$C$10)/12)*(1+Assumptions!$B$17)</f>
        <v>-34333.333333333336</v>
      </c>
      <c r="G27" s="27">
        <f>-((Assumptions!$B$29*Sheet3!$C$10)/12)*(1+Assumptions!$B$17)</f>
        <v>-34333.333333333336</v>
      </c>
      <c r="H27" s="27">
        <f>-((Assumptions!$B$29*Sheet3!$C$10)/12)*(1+Assumptions!$B$17)</f>
        <v>-34333.333333333336</v>
      </c>
      <c r="I27" s="27">
        <f>-((Assumptions!$B$29*Sheet3!$C$10)/12)*(1+Assumptions!$B$17)</f>
        <v>-34333.333333333336</v>
      </c>
      <c r="J27" s="27">
        <f>-((Assumptions!$B$29*Sheet3!$C$10)/12)*(1+Assumptions!$B$17)</f>
        <v>-34333.333333333336</v>
      </c>
      <c r="K27" s="27">
        <f>-((Assumptions!$B$29*Sheet3!$C$10)/12)*(1+Assumptions!$B$17)</f>
        <v>-34333.333333333336</v>
      </c>
      <c r="L27" s="27">
        <f>-((Assumptions!$B$29*Sheet3!$C$10)/12)*(1+Assumptions!$B$17)</f>
        <v>-34333.333333333336</v>
      </c>
      <c r="M27" s="27">
        <f>-((Assumptions!$B$29*Sheet3!$C$10)/12)*(1+Assumptions!$B$17)</f>
        <v>-34333.333333333336</v>
      </c>
      <c r="N27" s="27">
        <f>-((Assumptions!$B$29*Sheet3!$C$10)/12)*(1+Assumptions!$B$17)</f>
        <v>-34333.333333333336</v>
      </c>
      <c r="O27" s="27">
        <f>-((Assumptions!$B$29*Sheet3!$C$10)/12)*(1+Assumptions!$B$17)</f>
        <v>-34333.333333333336</v>
      </c>
      <c r="P27" s="73">
        <f>-((Assumptions!$B$29*Sheet3!$C$10)/12)*(1+Assumptions!$B$17)</f>
        <v>-34333.333333333336</v>
      </c>
      <c r="Q27" s="67">
        <f t="shared" si="4"/>
        <v>-411999.99999999994</v>
      </c>
    </row>
    <row r="28" spans="2:18" ns3:dyDescent="0.2">
      <c r="B28" s="24" t="s">
        <v>538</v>
      </c>
      <c r="E28" s="27">
        <f>-((Assumptions!$B$30*Sheet3!$C$10)/12)*(1+Assumptions!$B$17)</f>
        <v>-55791.666666666664</v>
      </c>
      <c r="F28" s="27">
        <f>-((Assumptions!$B$30*Sheet3!$C$10)/12)*(1+Assumptions!$B$17)</f>
        <v>-55791.666666666664</v>
      </c>
      <c r="G28" s="27">
        <f>-((Assumptions!$B$30*Sheet3!$C$10)/12)*(1+Assumptions!$B$17)</f>
        <v>-55791.666666666664</v>
      </c>
      <c r="H28" s="27">
        <f>-((Assumptions!$B$30*Sheet3!$C$10)/12)*(1+Assumptions!$B$17)</f>
        <v>-55791.666666666664</v>
      </c>
      <c r="I28" s="27">
        <f>-((Assumptions!$B$30*Sheet3!$C$10)/12)*(1+Assumptions!$B$17)</f>
        <v>-55791.666666666664</v>
      </c>
      <c r="J28" s="27">
        <f>-((Assumptions!$B$30*Sheet3!$C$10)/12)*(1+Assumptions!$B$17)</f>
        <v>-55791.666666666664</v>
      </c>
      <c r="K28" s="27">
        <f>-((Assumptions!$B$30*Sheet3!$C$10)/12)*(1+Assumptions!$B$17)</f>
        <v>-55791.666666666664</v>
      </c>
      <c r="L28" s="27">
        <f>-((Assumptions!$B$30*Sheet3!$C$10)/12)*(1+Assumptions!$B$17)</f>
        <v>-55791.666666666664</v>
      </c>
      <c r="M28" s="27">
        <f>-((Assumptions!$B$30*Sheet3!$C$10)/12)*(1+Assumptions!$B$17)</f>
        <v>-55791.666666666664</v>
      </c>
      <c r="N28" s="27">
        <f>-((Assumptions!$B$30*Sheet3!$C$10)/12)*(1+Assumptions!$B$17)</f>
        <v>-55791.666666666664</v>
      </c>
      <c r="O28" s="27">
        <f>-((Assumptions!$B$30*Sheet3!$C$10)/12)*(1+Assumptions!$B$17)</f>
        <v>-55791.666666666664</v>
      </c>
      <c r="P28" s="73">
        <f>-((Assumptions!$B$30*Sheet3!$C$10)/12)*(1+Assumptions!$B$17)</f>
        <v>-55791.666666666664</v>
      </c>
      <c r="Q28" s="67">
        <f t="shared" si="4"/>
        <v>-669500</v>
      </c>
    </row>
    <row r="29" spans="2:18" ns3:dyDescent="0.2">
      <c r="B29" s="24" t="s">
        <v>539</v>
      </c>
      <c r="E29" s="27">
        <f>-((Assumptions!$B$31*Sheet3!$C$10)/12)*(1+Assumptions!$B$17)</f>
        <v>-5150</v>
      </c>
      <c r="F29" s="27">
        <f>-((Assumptions!$B$31*Sheet3!$C$10)/12)*(1+Assumptions!$B$17)</f>
        <v>-5150</v>
      </c>
      <c r="G29" s="27">
        <f>-((Assumptions!$B$31*Sheet3!$C$10)/12)*(1+Assumptions!$B$17)</f>
        <v>-5150</v>
      </c>
      <c r="H29" s="27">
        <f>-((Assumptions!$B$31*Sheet3!$C$10)/12)*(1+Assumptions!$B$17)</f>
        <v>-5150</v>
      </c>
      <c r="I29" s="27">
        <f>-((Assumptions!$B$31*Sheet3!$C$10)/12)*(1+Assumptions!$B$17)</f>
        <v>-5150</v>
      </c>
      <c r="J29" s="27">
        <f>-((Assumptions!$B$31*Sheet3!$C$10)/12)*(1+Assumptions!$B$17)</f>
        <v>-5150</v>
      </c>
      <c r="K29" s="27">
        <f>-((Assumptions!$B$31*Sheet3!$C$10)/12)*(1+Assumptions!$B$17)</f>
        <v>-5150</v>
      </c>
      <c r="L29" s="27">
        <f>-((Assumptions!$B$31*Sheet3!$C$10)/12)*(1+Assumptions!$B$17)</f>
        <v>-5150</v>
      </c>
      <c r="M29" s="27">
        <f>-((Assumptions!$B$31*Sheet3!$C$10)/12)*(1+Assumptions!$B$17)</f>
        <v>-5150</v>
      </c>
      <c r="N29" s="27">
        <f>-((Assumptions!$B$31*Sheet3!$C$10)/12)*(1+Assumptions!$B$17)</f>
        <v>-5150</v>
      </c>
      <c r="O29" s="27">
        <f>-((Assumptions!$B$31*Sheet3!$C$10)/12)*(1+Assumptions!$B$17)</f>
        <v>-5150</v>
      </c>
      <c r="P29" s="73">
        <f>-((Assumptions!$B$31*Sheet3!$C$10)/12)*(1+Assumptions!$B$17)</f>
        <v>-5150</v>
      </c>
      <c r="Q29" s="67">
        <f t="shared" si="4"/>
        <v>-61800</v>
      </c>
    </row>
    <row r="30" spans="2:18" ns3:dyDescent="0.2">
      <c r="B30" s="24" t="s">
        <v>566</v>
      </c>
      <c r="E30" s="27">
        <f>-(Assumptions!$B$18*'Monthly Forecast'!E15)</f>
        <v>-11698.245810182752</v>
      </c>
      <c r="F30" s="27">
        <f>-(Assumptions!$B$18*'Monthly Forecast'!F15)</f>
        <v>-11703.376340993826</v>
      </c>
      <c r="G30" s="27">
        <f>-(Assumptions!$B$18*'Monthly Forecast'!G15)</f>
        <v>-11735.217143499118</v>
      </c>
      <c r="H30" s="27">
        <f>-(Assumptions!$B$18*'Monthly Forecast'!H15)</f>
        <v>-11767.496184089532</v>
      </c>
      <c r="I30" s="27">
        <f>-(Assumptions!$B$18*'Monthly Forecast'!I15)</f>
        <v>-11849.275820614535</v>
      </c>
      <c r="J30" s="27">
        <f>-(Assumptions!$B$18*'Monthly Forecast'!J15)</f>
        <v>-11907.929203594109</v>
      </c>
      <c r="K30" s="27">
        <f>-(Assumptions!$B$18*'Monthly Forecast'!K15)</f>
        <v>-11955.657605075216</v>
      </c>
      <c r="L30" s="27">
        <f>-(Assumptions!$B$18*'Monthly Forecast'!L15)</f>
        <v>-11992.880443218262</v>
      </c>
      <c r="M30" s="27">
        <f>-(Assumptions!$B$18*'Monthly Forecast'!M15)</f>
        <v>-12025.122482844414</v>
      </c>
      <c r="N30" s="27">
        <f>-(Assumptions!$B$18*'Monthly Forecast'!N15)</f>
        <v>-12030.572499278451</v>
      </c>
      <c r="O30" s="27">
        <f>-(Assumptions!$B$18*'Monthly Forecast'!O15)</f>
        <v>-12103.782390752978</v>
      </c>
      <c r="P30" s="73">
        <f>-(Assumptions!$B$18*'Monthly Forecast'!P15)</f>
        <v>-12175.931908442222</v>
      </c>
      <c r="Q30" s="67">
        <f t="shared" si="4"/>
        <v>-142945.48783258544</v>
      </c>
    </row>
    <row r="31" spans="2:18" ns3:dyDescent="0.2">
      <c r="B31" s="16" t="s">
        <v>567</v>
      </c>
      <c r="E31" s="45">
        <f>SUM(E19:E30)</f>
        <v>-157694.56581018277</v>
      </c>
      <c r="F31" s="45">
        <f t="shared" ref="F31:P31" si="5">SUM(F19:F30)</f>
        <v>-157699.69634099383</v>
      </c>
      <c r="G31" s="45">
        <f t="shared" si="5"/>
        <v>-157731.53714349912</v>
      </c>
      <c r="H31" s="45">
        <f t="shared" si="5"/>
        <v>-157763.81618408955</v>
      </c>
      <c r="I31" s="45">
        <f t="shared" si="5"/>
        <v>-157845.59582061454</v>
      </c>
      <c r="J31" s="45">
        <f t="shared" si="5"/>
        <v>-157904.24920359411</v>
      </c>
      <c r="K31" s="45">
        <f t="shared" si="5"/>
        <v>-157951.97760507523</v>
      </c>
      <c r="L31" s="45">
        <f t="shared" si="5"/>
        <v>-157989.20044321826</v>
      </c>
      <c r="M31" s="45">
        <f t="shared" si="5"/>
        <v>-158021.44248284443</v>
      </c>
      <c r="N31" s="45">
        <f t="shared" si="5"/>
        <v>-158026.89249927845</v>
      </c>
      <c r="O31" s="45">
        <f t="shared" si="5"/>
        <v>-158100.10239075299</v>
      </c>
      <c r="P31" s="65">
        <f t="shared" si="5"/>
        <v>-158172.25190844224</v>
      </c>
      <c r="Q31" s="45">
        <f>SUM(Q19:Q30)</f>
        <v>-1894901.3278325854</v>
      </c>
      <c r="R31" s="27"/>
    </row>
    <row r="32" spans="2:18" ns3:dyDescent="0.2">
      <c r="P32" s="75"/>
      <c r="Q32" s="68"/>
    </row>
    <row r="33" spans="2:17" ns3:dyDescent="0.2">
      <c r="B33" s="16" t="s">
        <v>568</v>
      </c>
      <c r="E33" s="46">
        <f>E15+E31</f>
        <v>232246.96119590901</v>
      </c>
      <c r="F33" s="46">
        <f t="shared" ref="F33:Q33" si="6">F15+F31</f>
        <v>232412.84835880037</v>
      </c>
      <c r="G33" s="46">
        <f t="shared" si="6"/>
        <v>233442.36763980484</v>
      </c>
      <c r="H33" s="46">
        <f t="shared" si="6"/>
        <v>234486.05661889489</v>
      </c>
      <c r="I33" s="46">
        <f t="shared" si="6"/>
        <v>237130.26486653666</v>
      </c>
      <c r="J33" s="46">
        <f t="shared" si="6"/>
        <v>239026.72424954287</v>
      </c>
      <c r="K33" s="46">
        <f t="shared" si="6"/>
        <v>240569.94256409863</v>
      </c>
      <c r="L33" s="46">
        <f t="shared" si="6"/>
        <v>241773.48099739049</v>
      </c>
      <c r="M33" s="46">
        <f t="shared" si="6"/>
        <v>242815.97361196936</v>
      </c>
      <c r="N33" s="46">
        <f t="shared" si="6"/>
        <v>242992.19081000329</v>
      </c>
      <c r="O33" s="46">
        <f t="shared" si="6"/>
        <v>245359.31063434633</v>
      </c>
      <c r="P33" s="76">
        <f t="shared" si="6"/>
        <v>247692.14503963187</v>
      </c>
      <c r="Q33" s="46">
        <f t="shared" si="6"/>
        <v>2869948.2665869296</v>
      </c>
    </row>
    <row r="34" spans="2:17" ns3:dyDescent="0.2">
      <c r="B34" s="29" t="s">
        <v>569</v>
      </c>
      <c r="E34" s="50">
        <f>E33/E15</f>
        <v>0.59559432661369449</v>
      </c>
      <c r="F34" s="50">
        <f t="shared" ref="F34:Q34" si="7">F33/F15</f>
        <v>0.59575845872285527</v>
      </c>
      <c r="G34" s="50">
        <f t="shared" si="7"/>
        <v>0.59677387674702731</v>
      </c>
      <c r="H34" s="50">
        <f t="shared" si="7"/>
        <v>0.59779766133071588</v>
      </c>
      <c r="I34" s="50">
        <f t="shared" si="7"/>
        <v>0.60036647417893874</v>
      </c>
      <c r="J34" s="50">
        <f t="shared" si="7"/>
        <v>0.60218713135462376</v>
      </c>
      <c r="K34" s="50">
        <f t="shared" si="7"/>
        <v>0.60365548389904355</v>
      </c>
      <c r="L34" s="50">
        <f t="shared" si="7"/>
        <v>0.60479252371962555</v>
      </c>
      <c r="M34" s="50">
        <f t="shared" si="7"/>
        <v>0.60577172654594158</v>
      </c>
      <c r="N34" s="50">
        <f t="shared" si="7"/>
        <v>0.60593672701255996</v>
      </c>
      <c r="O34" s="50">
        <f t="shared" si="7"/>
        <v>0.60813876864259075</v>
      </c>
      <c r="P34" s="77">
        <f t="shared" si="7"/>
        <v>0.61028300807405222</v>
      </c>
      <c r="Q34" s="69">
        <f t="shared" si="7"/>
        <v>0.60231665443294347</v>
      </c>
    </row>
    <row r="35" spans="2:17" ns3:dyDescent="0.2">
      <c r="P35" s="75"/>
      <c r="Q35" s="68"/>
    </row>
    <row r="36" spans="2:17" ns3:dyDescent="0.2">
      <c r="B36" s="23" t="s">
        <v>570</v>
      </c>
      <c r="P36" s="75"/>
      <c r="Q36" s="68"/>
    </row>
    <row r="37" spans="2:17" ns3:dyDescent="0.2">
      <c r="B37" s="24" t="s">
        <v>571</v>
      </c>
      <c r="E37" s="27">
        <f>IF(MONTH(E5)&lt;=6,(-(Assumptions!$B$34*Assumptions!$B$35)/12),-PMT(Assumptions!$B$35/12,(30*12),-(Assumptions!$B$34)))</f>
        <v>-166666.66666666666</v>
      </c>
      <c r="F37" s="27">
        <f>IF(MONTH(F5)&lt;=6,(-(Assumptions!$B$34*Assumptions!$B$35)/12),-PMT(Assumptions!$B$35/12,(30*12),-(Assumptions!$B$34)))</f>
        <v>-166666.66666666666</v>
      </c>
      <c r="G37" s="27">
        <f>IF(MONTH(G5)&lt;=6,(-(Assumptions!$B$34*Assumptions!$B$35)/12),-PMT(Assumptions!$B$35/12,(30*12),-(Assumptions!$B$34)))</f>
        <v>-166666.66666666666</v>
      </c>
      <c r="H37" s="27">
        <f>IF(MONTH(H5)&lt;=6,(-(Assumptions!$B$34*Assumptions!$B$35)/12),-PMT(Assumptions!$B$35/12,(30*12),-(Assumptions!$B$34)))</f>
        <v>-166666.66666666666</v>
      </c>
      <c r="I37" s="27">
        <f>IF(MONTH(I5)&lt;=6,(-(Assumptions!$B$34*Assumptions!$B$35)/12),-PMT(Assumptions!$B$35/12,(30*12),-(Assumptions!$B$34)))</f>
        <v>-166666.66666666666</v>
      </c>
      <c r="J37" s="27">
        <f>IF(MONTH(J5)&lt;=6,(-(Assumptions!$B$34*Assumptions!$B$35)/12),-PMT(Assumptions!$B$35/12,(30*12),-(Assumptions!$B$34)))</f>
        <v>-166666.66666666666</v>
      </c>
      <c r="K37" s="27">
        <f>IF(MONTH(K5)&lt;=6,(-(Assumptions!$B$34*Assumptions!$B$35)/12),-PMT(Assumptions!$B$35/12,(30*12),-(Assumptions!$B$34)))</f>
        <v>-214728.64920485564</v>
      </c>
      <c r="L37" s="27">
        <f>IF(MONTH(L5)&lt;=6,(-(Assumptions!$B$34*Assumptions!$B$35)/12),-PMT(Assumptions!$B$35/12,(30*12),-(Assumptions!$B$34)))</f>
        <v>-214728.64920485564</v>
      </c>
      <c r="M37" s="27">
        <f>IF(MONTH(M5)&lt;=6,(-(Assumptions!$B$34*Assumptions!$B$35)/12),-PMT(Assumptions!$B$35/12,(30*12),-(Assumptions!$B$34)))</f>
        <v>-214728.64920485564</v>
      </c>
      <c r="N37" s="27">
        <f>IF(MONTH(N5)&lt;=6,(-(Assumptions!$B$34*Assumptions!$B$35)/12),-PMT(Assumptions!$B$35/12,(30*12),-(Assumptions!$B$34)))</f>
        <v>-214728.64920485564</v>
      </c>
      <c r="O37" s="27">
        <f>IF(MONTH(O5)&lt;=6,(-(Assumptions!$B$34*Assumptions!$B$35)/12),-PMT(Assumptions!$B$35/12,(30*12),-(Assumptions!$B$34)))</f>
        <v>-214728.64920485564</v>
      </c>
      <c r="P37" s="73">
        <f>IF(MONTH(P5)&lt;=6,(-(Assumptions!$B$34*Assumptions!$B$35)/12),-PMT(Assumptions!$B$35/12,(30*12),-(Assumptions!$B$34)))</f>
        <v>-214728.64920485564</v>
      </c>
      <c r="Q37" s="67">
        <f>SUM(E37:P37)</f>
        <v>-2288371.8952291333</v>
      </c>
    </row>
    <row r="38" spans="2:17" ns3:dyDescent="0.2">
      <c r="B38" s="16" t="s">
        <v>572</v>
      </c>
      <c r="E38" s="45">
        <f>E33+E37</f>
        <v>65580.294529242354</v>
      </c>
      <c r="F38" s="45">
        <f t="shared" ref="F38:Q38" si="8">F33+F37</f>
        <v>65746.181692133716</v>
      </c>
      <c r="G38" s="45">
        <f t="shared" si="8"/>
        <v>66775.700973138184</v>
      </c>
      <c r="H38" s="45">
        <f t="shared" si="8"/>
        <v>67819.38995222823</v>
      </c>
      <c r="I38" s="45">
        <f t="shared" si="8"/>
        <v>70463.598199870001</v>
      </c>
      <c r="J38" s="45">
        <f t="shared" si="8"/>
        <v>72360.057582876208</v>
      </c>
      <c r="K38" s="45">
        <f t="shared" si="8"/>
        <v>25841.293359242991</v>
      </c>
      <c r="L38" s="45">
        <f t="shared" si="8"/>
        <v>27044.831792534853</v>
      </c>
      <c r="M38" s="45">
        <f t="shared" si="8"/>
        <v>28087.324407113716</v>
      </c>
      <c r="N38" s="45">
        <f t="shared" si="8"/>
        <v>28263.54160514765</v>
      </c>
      <c r="O38" s="45">
        <f t="shared" si="8"/>
        <v>30630.66142949069</v>
      </c>
      <c r="P38" s="65">
        <f t="shared" si="8"/>
        <v>32963.495834776229</v>
      </c>
      <c r="Q38" s="45">
        <f t="shared" si="8"/>
        <v>581576.37135779625</v>
      </c>
    </row>
    <row r="39" spans="2:17" ns3:dyDescent="0.2">
      <c r="P39" s="75"/>
      <c r="Q39" s="68"/>
    </row>
    <row r="40" spans="2:17" ns3:dyDescent="0.2">
      <c r="B40" s="23" t="s">
        <v>546</v>
      </c>
      <c r="E40" s="46">
        <f>-(Assumptions!$B$38*Sheet3!$C$10)/12</f>
        <v>-8333.3333333333339</v>
      </c>
      <c r="F40" s="46">
        <f>-(Assumptions!$B$38*Sheet3!$C$10)/12</f>
        <v>-8333.3333333333339</v>
      </c>
      <c r="G40" s="46">
        <f>-(Assumptions!$B$38*Sheet3!$C$10)/12</f>
        <v>-8333.3333333333339</v>
      </c>
      <c r="H40" s="46">
        <f>-(Assumptions!$B$38*Sheet3!$C$10)/12</f>
        <v>-8333.3333333333339</v>
      </c>
      <c r="I40" s="46">
        <f>-(Assumptions!$B$38*Sheet3!$C$10)/12</f>
        <v>-8333.3333333333339</v>
      </c>
      <c r="J40" s="46">
        <f>-(Assumptions!$B$38*Sheet3!$C$10)/12</f>
        <v>-8333.3333333333339</v>
      </c>
      <c r="K40" s="46">
        <f>-(Assumptions!$B$38*Sheet3!$C$10)/12</f>
        <v>-8333.3333333333339</v>
      </c>
      <c r="L40" s="46">
        <f>-(Assumptions!$B$38*Sheet3!$C$10)/12</f>
        <v>-8333.3333333333339</v>
      </c>
      <c r="M40" s="46">
        <f>-(Assumptions!$B$38*Sheet3!$C$10)/12</f>
        <v>-8333.3333333333339</v>
      </c>
      <c r="N40" s="46">
        <f>-(Assumptions!$B$38*Sheet3!$C$10)/12</f>
        <v>-8333.3333333333339</v>
      </c>
      <c r="O40" s="46">
        <f>-(Assumptions!$B$38*Sheet3!$C$10)/12</f>
        <v>-8333.3333333333339</v>
      </c>
      <c r="P40" s="76">
        <f>-(Assumptions!$B$38*Sheet3!$C$10)/12</f>
        <v>-8333.3333333333339</v>
      </c>
      <c r="Q40" s="70">
        <f>SUM(E40:P40)</f>
        <v>-99999.999999999985</v>
      </c>
    </row>
    <row r="41" spans="2:17" ns3:dyDescent="0.2">
      <c r="P41" s="75"/>
      <c r="Q41" s="68"/>
    </row>
    <row r="42" spans="2:17" ns3:dyDescent="0.2">
      <c r="B42" s="23" t="s">
        <v>573</v>
      </c>
      <c r="E42" s="45">
        <f>E38+E40</f>
        <v>57246.961195909018</v>
      </c>
      <c r="F42" s="45">
        <f t="shared" ref="F42:P42" si="9">F38+F40</f>
        <v>57412.84835880038</v>
      </c>
      <c r="G42" s="45">
        <f t="shared" si="9"/>
        <v>58442.367639804848</v>
      </c>
      <c r="H42" s="45">
        <f t="shared" si="9"/>
        <v>59486.056618894894</v>
      </c>
      <c r="I42" s="45">
        <f t="shared" si="9"/>
        <v>62130.264866536665</v>
      </c>
      <c r="J42" s="45">
        <f t="shared" si="9"/>
        <v>64026.724249542873</v>
      </c>
      <c r="K42" s="45">
        <f t="shared" si="9"/>
        <v>17507.960025909655</v>
      </c>
      <c r="L42" s="45">
        <f t="shared" si="9"/>
        <v>18711.498459201517</v>
      </c>
      <c r="M42" s="45">
        <f t="shared" si="9"/>
        <v>19753.99107378038</v>
      </c>
      <c r="N42" s="45">
        <f t="shared" si="9"/>
        <v>19930.208271814314</v>
      </c>
      <c r="O42" s="45">
        <f t="shared" si="9"/>
        <v>22297.328096157355</v>
      </c>
      <c r="P42" s="65">
        <f t="shared" si="9"/>
        <v>24630.162501442894</v>
      </c>
      <c r="Q42" s="71">
        <f>Q38+Q40</f>
        <v>481576.37135779625</v>
      </c>
    </row>
  </sheetData>
  <mergeCells count="3">
    <mergeCell ref="B2:H2"/>
    <mergeCell ref="B3:C3"/>
    <mergeCell ref="E4:Q4"/>
  </mergeCells>
  <pageMargins left="0.7" right="0.7" top="0.75" bottom="0.75" header="0.3" footer="0.3"/>
  <pageSetup scale="42" orientation="portrait" ns4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Sheet1</vt:lpstr>
      <vt:lpstr>Sheet2</vt:lpstr>
      <vt:lpstr>Sheet3</vt:lpstr>
      <vt:lpstr>Assumptions</vt:lpstr>
      <vt:lpstr>Monthly Forecast</vt:lpstr>
      <vt:lpstr>Assumptions!Print_Area</vt:lpstr>
      <vt:lpstr>'Monthly Forecast'!Print_Area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Brando Pakel</cp:lastModifiedBy>
  <dcterms:created xsi:type="dcterms:W3CDTF">2025-11-12T05:53:06Z</dcterms:created>
  <dcterms:modified xsi:type="dcterms:W3CDTF">2025-11-12T10:48:33Z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