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omments5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cef457bb869b141/Documents/"/>
    </mc:Choice>
  </mc:AlternateContent>
  <xr:revisionPtr revIDLastSave="4177" documentId="8_{0FB170E7-FD4D-4F00-A2C5-16B26D23250E}" xr6:coauthVersionLast="47" xr6:coauthVersionMax="47" xr10:uidLastSave="{5299BA5D-BED0-4520-95B3-AEDE4A080934}"/>
  <bookViews>
    <workbookView xWindow="-120" yWindow="-120" windowWidth="29040" windowHeight="15720" xr2:uid="{100045BF-7292-4B25-857F-3ED7E4F6B92B}" activeTab="6"/>
  </bookViews>
  <sheets>
    <sheet name="Cover" sheetId="2" r:id="rId1"/>
    <sheet name="Data Input" sheetId="1" r:id="rId2"/>
    <sheet name="Comp Table" sheetId="4" r:id="rId3"/>
    <sheet name="Scoring Matrix" sheetId="5" r:id="rId4"/>
    <sheet name="Scenarios" sheetId="6" r:id="rId5"/>
    <sheet name="Charts" sheetId="7" r:id="rId6"/>
    <sheet name="Dashboard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13" i="5" l="1"/>
  <c r="F6" i="5"/>
  <c r="E6" i="5"/>
  <c r="D6" i="5"/>
  <c r="C6" i="5"/>
  <c r="D7" i="5"/>
  <c r="H54" i="8"/>
  <c r="H53" i="8"/>
  <c r="H52" i="8"/>
  <c r="H51" i="8"/>
  <c r="H50" i="8"/>
  <c r="H49" i="8"/>
  <c r="C63" i="8"/>
  <c r="C62" i="8"/>
  <c r="C61" i="8"/>
  <c r="C60" i="8"/>
  <c r="C59" i="8"/>
  <c r="C58" i="8"/>
  <c r="C57" i="5" a="1"/>
  <c r="C57" i="5" s="1"/>
  <c r="F133" i="7"/>
  <c r="E133" i="7"/>
  <c r="D133" i="7"/>
  <c r="C133" i="7"/>
  <c r="F132" i="7"/>
  <c r="E132" i="7"/>
  <c r="D132" i="7"/>
  <c r="C132" i="7"/>
  <c r="F131" i="7"/>
  <c r="E131" i="7"/>
  <c r="D131" i="7"/>
  <c r="C131" i="7"/>
  <c r="F130" i="7"/>
  <c r="E130" i="7"/>
  <c r="D130" i="7"/>
  <c r="C130" i="7"/>
  <c r="F129" i="7"/>
  <c r="E129" i="7"/>
  <c r="D129" i="7"/>
  <c r="C129" i="7"/>
  <c r="F128" i="7"/>
  <c r="E128" i="7"/>
  <c r="C128" i="7"/>
  <c r="H84" i="8"/>
  <c r="G84" i="8"/>
  <c r="F84" i="8"/>
  <c r="E84" i="8"/>
  <c r="D84" i="8"/>
  <c r="C84" i="8"/>
  <c r="H83" i="8"/>
  <c r="G83" i="8"/>
  <c r="F83" i="8"/>
  <c r="E83" i="8"/>
  <c r="D83" i="8"/>
  <c r="C83" i="8"/>
  <c r="H82" i="8"/>
  <c r="G82" i="8"/>
  <c r="F82" i="8"/>
  <c r="E82" i="8"/>
  <c r="D82" i="8"/>
  <c r="C82" i="8"/>
  <c r="H81" i="8"/>
  <c r="G81" i="8"/>
  <c r="F81" i="8"/>
  <c r="E81" i="8"/>
  <c r="D81" i="8"/>
  <c r="C81" i="8"/>
  <c r="H80" i="8"/>
  <c r="G80" i="8"/>
  <c r="F80" i="8"/>
  <c r="E80" i="8"/>
  <c r="D80" i="8"/>
  <c r="C80" i="8"/>
  <c r="H79" i="8"/>
  <c r="G79" i="8"/>
  <c r="F79" i="8"/>
  <c r="E79" i="8"/>
  <c r="D79" i="8"/>
  <c r="C79" i="8"/>
  <c r="H78" i="8"/>
  <c r="G78" i="8"/>
  <c r="F78" i="8"/>
  <c r="E78" i="8"/>
  <c r="D78" i="8"/>
  <c r="C78" i="8"/>
  <c r="H77" i="8"/>
  <c r="G77" i="8"/>
  <c r="F77" i="8"/>
  <c r="E77" i="8"/>
  <c r="D77" i="8"/>
  <c r="C77" i="8"/>
  <c r="H76" i="8"/>
  <c r="G76" i="8"/>
  <c r="F76" i="8"/>
  <c r="E76" i="8"/>
  <c r="D76" i="8"/>
  <c r="H75" i="8"/>
  <c r="G75" i="8"/>
  <c r="F75" i="8"/>
  <c r="E75" i="8"/>
  <c r="D75" i="8"/>
  <c r="C75" i="8"/>
  <c r="F15" i="5"/>
  <c r="F13" i="5"/>
  <c r="H15" i="5"/>
  <c r="X10" i="4"/>
  <c r="X9" i="4"/>
  <c r="X8" i="4"/>
  <c r="X7" i="4"/>
  <c r="X6" i="4"/>
  <c r="X5" i="4"/>
  <c r="W10" i="4"/>
  <c r="W9" i="4"/>
  <c r="W8" i="4"/>
  <c r="W7" i="4"/>
  <c r="W6" i="4"/>
  <c r="W5" i="4"/>
  <c r="V10" i="4"/>
  <c r="V9" i="4"/>
  <c r="V8" i="4"/>
  <c r="V7" i="4"/>
  <c r="V6" i="4"/>
  <c r="V5" i="4"/>
  <c r="U10" i="4"/>
  <c r="U9" i="4"/>
  <c r="U8" i="4"/>
  <c r="U7" i="4"/>
  <c r="U6" i="4"/>
  <c r="U5" i="4"/>
  <c r="T10" i="4"/>
  <c r="T9" i="4"/>
  <c r="T8" i="4"/>
  <c r="T7" i="4"/>
  <c r="T6" i="4"/>
  <c r="T5" i="4"/>
  <c r="S10" i="4"/>
  <c r="S9" i="4"/>
  <c r="S8" i="4"/>
  <c r="S7" i="4"/>
  <c r="S6" i="4"/>
  <c r="S5" i="4"/>
  <c r="R10" i="4"/>
  <c r="R9" i="4"/>
  <c r="R8" i="4"/>
  <c r="R7" i="4"/>
  <c r="R6" i="4"/>
  <c r="R5" i="4"/>
  <c r="Z51" i="1"/>
  <c r="Z48" i="1"/>
  <c r="Y65" i="1"/>
  <c r="Y9" i="4" s="1"/>
  <c r="G85" i="8" s="1"/>
  <c r="Y51" i="1"/>
  <c r="Y48" i="1"/>
  <c r="X51" i="1"/>
  <c r="X48" i="1"/>
  <c r="W51" i="1"/>
  <c r="W48" i="1"/>
  <c r="V51" i="1"/>
  <c r="V48" i="1"/>
  <c r="U51" i="1"/>
  <c r="U48" i="1"/>
  <c r="L15" i="1"/>
  <c r="F10" i="4"/>
  <c r="D15" i="5" s="1"/>
  <c r="F9" i="4"/>
  <c r="D13" i="6" s="1"/>
  <c r="F8" i="4"/>
  <c r="E16" i="8" s="1"/>
  <c r="F7" i="4"/>
  <c r="D16" i="8" s="1"/>
  <c r="F6" i="4"/>
  <c r="C16" i="8" s="1"/>
  <c r="F5" i="4"/>
  <c r="C8" i="7" s="1"/>
  <c r="J2" i="8"/>
  <c r="J3" i="8"/>
  <c r="E10" i="4"/>
  <c r="H24" i="8" s="1"/>
  <c r="E9" i="4"/>
  <c r="M9" i="4" s="1"/>
  <c r="E8" i="4"/>
  <c r="M8" i="4" s="1"/>
  <c r="E7" i="4"/>
  <c r="M7" i="4" s="1"/>
  <c r="E6" i="4"/>
  <c r="M6" i="4" s="1"/>
  <c r="E5" i="4"/>
  <c r="C9" i="6" s="1"/>
  <c r="P13" i="1"/>
  <c r="P12" i="1"/>
  <c r="P11" i="1"/>
  <c r="P10" i="1"/>
  <c r="P9" i="1"/>
  <c r="P8" i="1"/>
  <c r="G66" i="8"/>
  <c r="F66" i="8"/>
  <c r="E66" i="8"/>
  <c r="D66" i="8"/>
  <c r="C66" i="8"/>
  <c r="B66" i="8"/>
  <c r="G54" i="8"/>
  <c r="D54" i="8"/>
  <c r="C54" i="8"/>
  <c r="G53" i="8"/>
  <c r="C53" i="8"/>
  <c r="G52" i="8"/>
  <c r="D52" i="8"/>
  <c r="C52" i="8"/>
  <c r="G51" i="8"/>
  <c r="C51" i="8"/>
  <c r="G50" i="8"/>
  <c r="C50" i="8"/>
  <c r="G49" i="8"/>
  <c r="C49" i="8"/>
  <c r="C44" i="8"/>
  <c r="C42" i="8"/>
  <c r="B39" i="8"/>
  <c r="H33" i="8"/>
  <c r="F33" i="8"/>
  <c r="F31" i="8"/>
  <c r="H29" i="8"/>
  <c r="G29" i="8"/>
  <c r="F29" i="8"/>
  <c r="E29" i="8"/>
  <c r="D29" i="8"/>
  <c r="C29" i="8"/>
  <c r="H28" i="8"/>
  <c r="G28" i="8"/>
  <c r="F28" i="8"/>
  <c r="E28" i="8"/>
  <c r="D28" i="8"/>
  <c r="C28" i="8"/>
  <c r="H27" i="8"/>
  <c r="G27" i="8"/>
  <c r="F27" i="8"/>
  <c r="E27" i="8"/>
  <c r="D27" i="8"/>
  <c r="C27" i="8"/>
  <c r="H26" i="8"/>
  <c r="G26" i="8"/>
  <c r="F26" i="8"/>
  <c r="E26" i="8"/>
  <c r="D26" i="8"/>
  <c r="C26" i="8"/>
  <c r="G23" i="8"/>
  <c r="G14" i="8"/>
  <c r="F14" i="8"/>
  <c r="E14" i="8"/>
  <c r="D14" i="8"/>
  <c r="C14" i="8"/>
  <c r="B14" i="8"/>
  <c r="G13" i="8"/>
  <c r="B54" i="8" s="1"/>
  <c r="F13" i="8"/>
  <c r="B53" i="8" s="1"/>
  <c r="E13" i="8"/>
  <c r="B42" i="8" s="1"/>
  <c r="D13" i="8"/>
  <c r="B41" i="8" s="1"/>
  <c r="C13" i="8"/>
  <c r="B40" i="8" s="1"/>
  <c r="B13" i="8"/>
  <c r="C23" i="8" s="1"/>
  <c r="E9" i="8"/>
  <c r="B93" i="7"/>
  <c r="C92" i="7"/>
  <c r="B92" i="7"/>
  <c r="B91" i="7"/>
  <c r="C90" i="7"/>
  <c r="B90" i="7"/>
  <c r="B89" i="7"/>
  <c r="B88" i="7"/>
  <c r="B73" i="7"/>
  <c r="B72" i="7"/>
  <c r="B71" i="7"/>
  <c r="B70" i="7"/>
  <c r="B69" i="7"/>
  <c r="B68" i="7"/>
  <c r="B53" i="7"/>
  <c r="B52" i="7"/>
  <c r="B51" i="7"/>
  <c r="E50" i="7"/>
  <c r="B50" i="7"/>
  <c r="B49" i="7"/>
  <c r="B48" i="7"/>
  <c r="E33" i="7"/>
  <c r="D33" i="7"/>
  <c r="C33" i="7"/>
  <c r="B33" i="7"/>
  <c r="E32" i="7"/>
  <c r="D32" i="7"/>
  <c r="C32" i="7"/>
  <c r="B32" i="7"/>
  <c r="E31" i="7"/>
  <c r="D31" i="7"/>
  <c r="C31" i="7"/>
  <c r="B31" i="7"/>
  <c r="E30" i="7"/>
  <c r="D30" i="7"/>
  <c r="C30" i="7"/>
  <c r="B30" i="7"/>
  <c r="E29" i="7"/>
  <c r="D29" i="7"/>
  <c r="C29" i="7"/>
  <c r="B29" i="7"/>
  <c r="E28" i="7"/>
  <c r="D28" i="7"/>
  <c r="C28" i="7"/>
  <c r="B28" i="7"/>
  <c r="D13" i="7"/>
  <c r="B13" i="7"/>
  <c r="D12" i="7"/>
  <c r="B12" i="7"/>
  <c r="D11" i="7"/>
  <c r="B11" i="7"/>
  <c r="D10" i="7"/>
  <c r="B10" i="7"/>
  <c r="D9" i="7"/>
  <c r="B9" i="7"/>
  <c r="D8" i="7"/>
  <c r="B8" i="7"/>
  <c r="J67" i="6"/>
  <c r="F67" i="6"/>
  <c r="D67" i="6"/>
  <c r="J66" i="6"/>
  <c r="D66" i="6"/>
  <c r="B66" i="6"/>
  <c r="B111" i="7" s="1"/>
  <c r="J65" i="6"/>
  <c r="D65" i="6"/>
  <c r="B65" i="6"/>
  <c r="J64" i="6"/>
  <c r="F64" i="6"/>
  <c r="D64" i="6"/>
  <c r="B64" i="6"/>
  <c r="B110" i="7" s="1"/>
  <c r="J63" i="6"/>
  <c r="F63" i="6"/>
  <c r="D63" i="6"/>
  <c r="J62" i="6"/>
  <c r="F62" i="6"/>
  <c r="D62" i="6"/>
  <c r="D44" i="6"/>
  <c r="C44" i="6"/>
  <c r="D43" i="6"/>
  <c r="D42" i="6"/>
  <c r="D41" i="6"/>
  <c r="C38" i="6"/>
  <c r="B33" i="6"/>
  <c r="B32" i="6"/>
  <c r="B31" i="6"/>
  <c r="B30" i="6"/>
  <c r="B29" i="6"/>
  <c r="B28" i="6"/>
  <c r="E14" i="6"/>
  <c r="B14" i="6"/>
  <c r="B67" i="6" s="1"/>
  <c r="E13" i="6"/>
  <c r="F66" i="6" s="1"/>
  <c r="B13" i="6"/>
  <c r="F12" i="6"/>
  <c r="E12" i="6"/>
  <c r="F65" i="6" s="1"/>
  <c r="B12" i="6"/>
  <c r="E11" i="6"/>
  <c r="B11" i="6"/>
  <c r="E10" i="6"/>
  <c r="B10" i="6"/>
  <c r="B63" i="6" s="1"/>
  <c r="B109" i="7" s="1"/>
  <c r="E9" i="6"/>
  <c r="B9" i="6"/>
  <c r="B62" i="6" s="1"/>
  <c r="B108" i="7" s="1"/>
  <c r="G6" i="5"/>
  <c r="F21" i="5"/>
  <c r="C21" i="5"/>
  <c r="I15" i="5"/>
  <c r="I24" i="5" s="1"/>
  <c r="E15" i="5"/>
  <c r="C15" i="5"/>
  <c r="C24" i="5" s="1"/>
  <c r="I14" i="5"/>
  <c r="F14" i="5"/>
  <c r="E14" i="5"/>
  <c r="C14" i="5"/>
  <c r="C23" i="5" s="1"/>
  <c r="I13" i="5"/>
  <c r="I22" i="5" s="1"/>
  <c r="E13" i="5"/>
  <c r="C13" i="5"/>
  <c r="I12" i="5"/>
  <c r="I21" i="5" s="1"/>
  <c r="F12" i="5"/>
  <c r="E12" i="5"/>
  <c r="E21" i="5" s="1"/>
  <c r="C12" i="5"/>
  <c r="C22" i="5" s="1"/>
  <c r="I11" i="5"/>
  <c r="I20" i="5" s="1"/>
  <c r="F11" i="5"/>
  <c r="F20" i="5" s="1"/>
  <c r="E11" i="5"/>
  <c r="C11" i="5"/>
  <c r="I10" i="5"/>
  <c r="I23" i="5" s="1"/>
  <c r="F10" i="5"/>
  <c r="F22" i="5" s="1"/>
  <c r="D31" i="5" s="1"/>
  <c r="E10" i="5"/>
  <c r="E22" i="5" s="1"/>
  <c r="C10" i="5"/>
  <c r="O6" i="4"/>
  <c r="H52" i="1"/>
  <c r="J6" i="4" s="1"/>
  <c r="G52" i="1"/>
  <c r="F52" i="1"/>
  <c r="E52" i="1"/>
  <c r="D52" i="1"/>
  <c r="H45" i="1"/>
  <c r="Q6" i="4" s="1"/>
  <c r="G45" i="1"/>
  <c r="F45" i="1"/>
  <c r="E45" i="1"/>
  <c r="D45" i="1"/>
  <c r="H41" i="1"/>
  <c r="G41" i="1"/>
  <c r="F41" i="1"/>
  <c r="E41" i="1"/>
  <c r="D41" i="1"/>
  <c r="O10" i="4"/>
  <c r="J10" i="4"/>
  <c r="G10" i="4"/>
  <c r="Q9" i="4"/>
  <c r="O9" i="4"/>
  <c r="I9" i="4"/>
  <c r="H9" i="4"/>
  <c r="G9" i="4"/>
  <c r="Q8" i="4"/>
  <c r="O8" i="4"/>
  <c r="I8" i="4"/>
  <c r="H8" i="4"/>
  <c r="G8" i="4"/>
  <c r="O7" i="4"/>
  <c r="L7" i="4"/>
  <c r="K7" i="4"/>
  <c r="E30" i="8" s="1"/>
  <c r="H7" i="4"/>
  <c r="G7" i="4"/>
  <c r="L6" i="4"/>
  <c r="F10" i="6" s="1"/>
  <c r="K6" i="4"/>
  <c r="P6" i="4" s="1"/>
  <c r="J11" i="5" s="1"/>
  <c r="H6" i="4"/>
  <c r="G6" i="4"/>
  <c r="Q5" i="4"/>
  <c r="O5" i="4"/>
  <c r="J5" i="4"/>
  <c r="I5" i="4"/>
  <c r="H5" i="4"/>
  <c r="G5" i="4"/>
  <c r="H177" i="1"/>
  <c r="H178" i="1" s="1"/>
  <c r="L10" i="4" s="1"/>
  <c r="G177" i="1"/>
  <c r="G178" i="1" s="1"/>
  <c r="F177" i="1"/>
  <c r="F178" i="1" s="1"/>
  <c r="E177" i="1"/>
  <c r="E178" i="1" s="1"/>
  <c r="D177" i="1"/>
  <c r="D178" i="1" s="1"/>
  <c r="H168" i="1"/>
  <c r="G168" i="1"/>
  <c r="F168" i="1"/>
  <c r="E168" i="1"/>
  <c r="D168" i="1"/>
  <c r="H161" i="1"/>
  <c r="I10" i="4" s="1"/>
  <c r="G161" i="1"/>
  <c r="F161" i="1"/>
  <c r="E161" i="1"/>
  <c r="D161" i="1"/>
  <c r="H157" i="1"/>
  <c r="H10" i="4" s="1"/>
  <c r="G157" i="1"/>
  <c r="F157" i="1"/>
  <c r="E157" i="1"/>
  <c r="D157" i="1"/>
  <c r="H148" i="1"/>
  <c r="H149" i="1" s="1"/>
  <c r="L9" i="4" s="1"/>
  <c r="G31" i="8" s="1"/>
  <c r="G148" i="1"/>
  <c r="G149" i="1" s="1"/>
  <c r="F148" i="1"/>
  <c r="F149" i="1" s="1"/>
  <c r="E148" i="1"/>
  <c r="E149" i="1" s="1"/>
  <c r="D148" i="1"/>
  <c r="D149" i="1" s="1"/>
  <c r="H139" i="1"/>
  <c r="G139" i="1"/>
  <c r="F139" i="1"/>
  <c r="E139" i="1"/>
  <c r="D139" i="1"/>
  <c r="H132" i="1"/>
  <c r="G132" i="1"/>
  <c r="F132" i="1"/>
  <c r="E132" i="1"/>
  <c r="D132" i="1"/>
  <c r="H128" i="1"/>
  <c r="G128" i="1"/>
  <c r="F128" i="1"/>
  <c r="E128" i="1"/>
  <c r="D128" i="1"/>
  <c r="H119" i="1"/>
  <c r="H120" i="1" s="1"/>
  <c r="L8" i="4" s="1"/>
  <c r="C91" i="7" s="1"/>
  <c r="G119" i="1"/>
  <c r="G120" i="1" s="1"/>
  <c r="F119" i="1"/>
  <c r="F120" i="1" s="1"/>
  <c r="E119" i="1"/>
  <c r="E120" i="1" s="1"/>
  <c r="D119" i="1"/>
  <c r="D120" i="1" s="1"/>
  <c r="H110" i="1"/>
  <c r="G110" i="1"/>
  <c r="F110" i="1"/>
  <c r="E110" i="1"/>
  <c r="D110" i="1"/>
  <c r="H103" i="1"/>
  <c r="G103" i="1"/>
  <c r="F103" i="1"/>
  <c r="E103" i="1"/>
  <c r="D103" i="1"/>
  <c r="H99" i="1"/>
  <c r="G99" i="1"/>
  <c r="F99" i="1"/>
  <c r="E99" i="1"/>
  <c r="D99" i="1"/>
  <c r="H90" i="1"/>
  <c r="H91" i="1" s="1"/>
  <c r="G90" i="1"/>
  <c r="G91" i="1" s="1"/>
  <c r="F90" i="1"/>
  <c r="F91" i="1" s="1"/>
  <c r="E90" i="1"/>
  <c r="E91" i="1" s="1"/>
  <c r="D90" i="1"/>
  <c r="D91" i="1" s="1"/>
  <c r="H81" i="1"/>
  <c r="G81" i="1"/>
  <c r="F81" i="1"/>
  <c r="E81" i="1"/>
  <c r="D81" i="1"/>
  <c r="H74" i="1"/>
  <c r="Q7" i="4" s="1"/>
  <c r="G74" i="1"/>
  <c r="F74" i="1"/>
  <c r="E74" i="1"/>
  <c r="D74" i="1"/>
  <c r="H70" i="1"/>
  <c r="G70" i="1"/>
  <c r="F70" i="1"/>
  <c r="E70" i="1"/>
  <c r="D70" i="1"/>
  <c r="H61" i="1"/>
  <c r="H62" i="1" s="1"/>
  <c r="G61" i="1"/>
  <c r="G62" i="1" s="1"/>
  <c r="F61" i="1"/>
  <c r="F62" i="1" s="1"/>
  <c r="E61" i="1"/>
  <c r="E62" i="1" s="1"/>
  <c r="D61" i="1"/>
  <c r="D62" i="1" s="1"/>
  <c r="H32" i="1"/>
  <c r="H33" i="1" s="1"/>
  <c r="L5" i="4" s="1"/>
  <c r="G32" i="1"/>
  <c r="G33" i="1" s="1"/>
  <c r="F32" i="1"/>
  <c r="F33" i="1" s="1"/>
  <c r="E32" i="1"/>
  <c r="E33" i="1" s="1"/>
  <c r="H23" i="1"/>
  <c r="G23" i="1"/>
  <c r="F23" i="1"/>
  <c r="E23" i="1"/>
  <c r="H16" i="1"/>
  <c r="G16" i="1"/>
  <c r="F16" i="1"/>
  <c r="E16" i="1"/>
  <c r="H12" i="1"/>
  <c r="G12" i="1"/>
  <c r="F12" i="1"/>
  <c r="E12" i="1"/>
  <c r="D32" i="1"/>
  <c r="D33" i="1" s="1"/>
  <c r="D23" i="1"/>
  <c r="D16" i="1"/>
  <c r="D12" i="1"/>
  <c r="B6" i="8" l="1"/>
  <c r="D59" i="8"/>
  <c r="C59" i="5"/>
  <c r="C58" i="5"/>
  <c r="B43" i="8"/>
  <c r="B44" i="8"/>
  <c r="E23" i="5"/>
  <c r="B49" i="8"/>
  <c r="F24" i="5"/>
  <c r="F23" i="5"/>
  <c r="D32" i="5" s="1"/>
  <c r="B50" i="8"/>
  <c r="C19" i="5"/>
  <c r="E24" i="5"/>
  <c r="E19" i="5"/>
  <c r="F19" i="5"/>
  <c r="D28" i="5" s="1"/>
  <c r="I19" i="5"/>
  <c r="B51" i="8"/>
  <c r="E43" i="6"/>
  <c r="C20" i="5"/>
  <c r="B52" i="8"/>
  <c r="E20" i="5"/>
  <c r="D29" i="5" s="1"/>
  <c r="D23" i="8"/>
  <c r="E23" i="8"/>
  <c r="F23" i="8"/>
  <c r="H23" i="8"/>
  <c r="D30" i="5"/>
  <c r="C49" i="7"/>
  <c r="Z65" i="1"/>
  <c r="Y10" i="4" s="1"/>
  <c r="H85" i="8" s="1"/>
  <c r="D9" i="8"/>
  <c r="V65" i="1"/>
  <c r="Y6" i="4" s="1"/>
  <c r="D85" i="8" s="1"/>
  <c r="W65" i="1"/>
  <c r="Y7" i="4" s="1"/>
  <c r="E85" i="8" s="1"/>
  <c r="U65" i="1"/>
  <c r="Y5" i="4" s="1"/>
  <c r="C85" i="8" s="1"/>
  <c r="X65" i="1"/>
  <c r="Y8" i="4" s="1"/>
  <c r="F85" i="8" s="1"/>
  <c r="F16" i="8"/>
  <c r="C12" i="7"/>
  <c r="C25" i="8"/>
  <c r="D25" i="8"/>
  <c r="C48" i="7"/>
  <c r="D11" i="6"/>
  <c r="C10" i="7"/>
  <c r="D9" i="6"/>
  <c r="D10" i="5"/>
  <c r="E25" i="8"/>
  <c r="D10" i="6"/>
  <c r="C50" i="7"/>
  <c r="F25" i="8"/>
  <c r="G25" i="8"/>
  <c r="C51" i="7"/>
  <c r="D13" i="5"/>
  <c r="C9" i="7"/>
  <c r="C52" i="7"/>
  <c r="D14" i="5"/>
  <c r="D12" i="6"/>
  <c r="C11" i="7"/>
  <c r="H25" i="8"/>
  <c r="C13" i="7"/>
  <c r="C53" i="7"/>
  <c r="D14" i="6"/>
  <c r="G16" i="8"/>
  <c r="D11" i="5"/>
  <c r="B16" i="8"/>
  <c r="D12" i="5"/>
  <c r="C12" i="6"/>
  <c r="E65" i="6" s="1"/>
  <c r="G65" i="6" s="1"/>
  <c r="H65" i="6" s="1"/>
  <c r="E52" i="8" s="1"/>
  <c r="F52" i="8" s="1"/>
  <c r="F24" i="8"/>
  <c r="C9" i="8"/>
  <c r="D24" i="8"/>
  <c r="E24" i="8"/>
  <c r="G24" i="8"/>
  <c r="C10" i="6"/>
  <c r="E63" i="6" s="1"/>
  <c r="G63" i="6" s="1"/>
  <c r="H63" i="6" s="1"/>
  <c r="C11" i="6"/>
  <c r="D50" i="7"/>
  <c r="G12" i="5"/>
  <c r="E32" i="8"/>
  <c r="C13" i="6"/>
  <c r="M5" i="4"/>
  <c r="C24" i="8"/>
  <c r="M10" i="4"/>
  <c r="C14" i="6"/>
  <c r="D28" i="6"/>
  <c r="G28" i="6" s="1"/>
  <c r="E28" i="6"/>
  <c r="H28" i="6" s="1"/>
  <c r="E44" i="6"/>
  <c r="E62" i="6"/>
  <c r="G62" i="6" s="1"/>
  <c r="E41" i="6"/>
  <c r="C28" i="6"/>
  <c r="F28" i="6" s="1"/>
  <c r="E42" i="6"/>
  <c r="F14" i="6"/>
  <c r="C93" i="7"/>
  <c r="H31" i="8"/>
  <c r="K10" i="4"/>
  <c r="K12" i="4" s="1"/>
  <c r="F13" i="6"/>
  <c r="D18" i="8"/>
  <c r="E31" i="8"/>
  <c r="F11" i="6"/>
  <c r="C89" i="7"/>
  <c r="D31" i="8"/>
  <c r="E49" i="7"/>
  <c r="D30" i="8"/>
  <c r="N5" i="4"/>
  <c r="C31" i="8"/>
  <c r="F9" i="6"/>
  <c r="C88" i="7"/>
  <c r="K5" i="4"/>
  <c r="K8" i="4"/>
  <c r="P8" i="4" s="1"/>
  <c r="J13" i="5" s="1"/>
  <c r="N8" i="4"/>
  <c r="J8" i="4"/>
  <c r="P7" i="4"/>
  <c r="J12" i="5" s="1"/>
  <c r="J7" i="4"/>
  <c r="I7" i="4"/>
  <c r="N7" i="4"/>
  <c r="G12" i="4"/>
  <c r="G13" i="4"/>
  <c r="O12" i="4" a="1"/>
  <c r="O12" i="4" s="1"/>
  <c r="Q10" i="4"/>
  <c r="N10" i="4"/>
  <c r="H13" i="4"/>
  <c r="E13" i="4"/>
  <c r="E12" i="4"/>
  <c r="F12" i="4"/>
  <c r="K9" i="4"/>
  <c r="N9" i="4"/>
  <c r="L13" i="4"/>
  <c r="J9" i="4"/>
  <c r="F13" i="4"/>
  <c r="L12" i="4"/>
  <c r="J13" i="4"/>
  <c r="J12" i="4"/>
  <c r="Q13" i="4"/>
  <c r="Q12" i="4" a="1"/>
  <c r="Q12" i="4" s="1"/>
  <c r="I6" i="4"/>
  <c r="N6" i="4"/>
  <c r="H12" i="4"/>
  <c r="O13" i="4"/>
  <c r="C6" i="8" l="1"/>
  <c r="D33" i="5"/>
  <c r="D20" i="5"/>
  <c r="C29" i="5" s="1"/>
  <c r="D19" i="5"/>
  <c r="C28" i="5" s="1"/>
  <c r="D21" i="5"/>
  <c r="C30" i="5" s="1"/>
  <c r="D23" i="5"/>
  <c r="C32" i="5" s="1"/>
  <c r="D24" i="5"/>
  <c r="C33" i="5" s="1"/>
  <c r="D22" i="5"/>
  <c r="C31" i="5" s="1"/>
  <c r="D31" i="6"/>
  <c r="G31" i="6" s="1"/>
  <c r="J31" i="6" s="1"/>
  <c r="E42" i="8" s="1"/>
  <c r="G42" i="8" s="1"/>
  <c r="E31" i="6"/>
  <c r="H31" i="6" s="1"/>
  <c r="K31" i="6" s="1"/>
  <c r="F42" i="8" s="1"/>
  <c r="H42" i="8" s="1"/>
  <c r="C31" i="6"/>
  <c r="F31" i="6" s="1"/>
  <c r="I31" i="6" s="1"/>
  <c r="D42" i="8" s="1"/>
  <c r="E29" i="6"/>
  <c r="H29" i="6" s="1"/>
  <c r="K29" i="6" s="1"/>
  <c r="F40" i="8" s="1"/>
  <c r="D29" i="6"/>
  <c r="G29" i="6" s="1"/>
  <c r="J29" i="6" s="1"/>
  <c r="E40" i="8" s="1"/>
  <c r="C29" i="6"/>
  <c r="F29" i="6" s="1"/>
  <c r="I29" i="6" s="1"/>
  <c r="D40" i="8" s="1"/>
  <c r="E64" i="6"/>
  <c r="G64" i="6" s="1"/>
  <c r="H64" i="6" s="1"/>
  <c r="D30" i="6"/>
  <c r="G30" i="6" s="1"/>
  <c r="J30" i="6" s="1"/>
  <c r="E41" i="8" s="1"/>
  <c r="C30" i="6"/>
  <c r="F30" i="6" s="1"/>
  <c r="I30" i="6" s="1"/>
  <c r="D41" i="8" s="1"/>
  <c r="E30" i="6"/>
  <c r="H30" i="6" s="1"/>
  <c r="K30" i="6" s="1"/>
  <c r="F41" i="8" s="1"/>
  <c r="E66" i="6"/>
  <c r="G66" i="6" s="1"/>
  <c r="H66" i="6" s="1"/>
  <c r="D32" i="6"/>
  <c r="G32" i="6" s="1"/>
  <c r="J32" i="6" s="1"/>
  <c r="E43" i="8" s="1"/>
  <c r="C32" i="6"/>
  <c r="F32" i="6" s="1"/>
  <c r="I32" i="6" s="1"/>
  <c r="D43" i="8" s="1"/>
  <c r="E32" i="6"/>
  <c r="H32" i="6" s="1"/>
  <c r="K32" i="6" s="1"/>
  <c r="F43" i="8" s="1"/>
  <c r="E33" i="6"/>
  <c r="H33" i="6" s="1"/>
  <c r="K33" i="6" s="1"/>
  <c r="F44" i="8" s="1"/>
  <c r="H44" i="8" s="1"/>
  <c r="D33" i="6"/>
  <c r="G33" i="6" s="1"/>
  <c r="J33" i="6" s="1"/>
  <c r="E44" i="8" s="1"/>
  <c r="G44" i="8" s="1"/>
  <c r="C33" i="6"/>
  <c r="F33" i="6" s="1"/>
  <c r="I33" i="6" s="1"/>
  <c r="D44" i="8" s="1"/>
  <c r="E67" i="6"/>
  <c r="G67" i="6" s="1"/>
  <c r="H67" i="6" s="1"/>
  <c r="E54" i="8" s="1"/>
  <c r="F54" i="8" s="1"/>
  <c r="H32" i="8"/>
  <c r="D53" i="7"/>
  <c r="G18" i="8"/>
  <c r="G15" i="5"/>
  <c r="P10" i="4"/>
  <c r="J15" i="5" s="1"/>
  <c r="E53" i="7"/>
  <c r="H30" i="8"/>
  <c r="G32" i="8"/>
  <c r="G14" i="5"/>
  <c r="F18" i="8"/>
  <c r="D52" i="7"/>
  <c r="G33" i="8"/>
  <c r="H14" i="5"/>
  <c r="C43" i="8"/>
  <c r="C111" i="7"/>
  <c r="C55" i="6"/>
  <c r="D53" i="8"/>
  <c r="E52" i="7"/>
  <c r="G30" i="8"/>
  <c r="F51" i="6"/>
  <c r="E51" i="6"/>
  <c r="G50" i="6"/>
  <c r="F50" i="6"/>
  <c r="F54" i="6"/>
  <c r="D54" i="6"/>
  <c r="D53" i="6"/>
  <c r="C53" i="6"/>
  <c r="C52" i="6"/>
  <c r="D51" i="6"/>
  <c r="C51" i="6"/>
  <c r="G54" i="6"/>
  <c r="E54" i="6"/>
  <c r="C54" i="6"/>
  <c r="G52" i="6"/>
  <c r="D52" i="6"/>
  <c r="G51" i="6"/>
  <c r="E50" i="6"/>
  <c r="G53" i="6"/>
  <c r="D50" i="6"/>
  <c r="C50" i="6"/>
  <c r="E53" i="6"/>
  <c r="F52" i="6"/>
  <c r="F53" i="6"/>
  <c r="E52" i="6"/>
  <c r="M12" i="4"/>
  <c r="E18" i="8"/>
  <c r="F32" i="8"/>
  <c r="G13" i="5"/>
  <c r="D51" i="7"/>
  <c r="F30" i="8"/>
  <c r="E51" i="7"/>
  <c r="K13" i="4"/>
  <c r="I65" i="6"/>
  <c r="C110" i="7"/>
  <c r="H12" i="5"/>
  <c r="D51" i="8"/>
  <c r="C41" i="8"/>
  <c r="E33" i="8"/>
  <c r="C40" i="8"/>
  <c r="D33" i="8"/>
  <c r="H11" i="5"/>
  <c r="C109" i="7"/>
  <c r="D50" i="8"/>
  <c r="G9" i="8"/>
  <c r="D32" i="8"/>
  <c r="F9" i="8"/>
  <c r="G11" i="5"/>
  <c r="C18" i="8"/>
  <c r="D49" i="7"/>
  <c r="I63" i="6"/>
  <c r="D109" i="7"/>
  <c r="E50" i="8"/>
  <c r="H62" i="6"/>
  <c r="K28" i="6"/>
  <c r="F39" i="8" s="1"/>
  <c r="J28" i="6"/>
  <c r="E39" i="8" s="1"/>
  <c r="I28" i="6"/>
  <c r="D39" i="8" s="1"/>
  <c r="F43" i="6"/>
  <c r="G43" i="6" s="1"/>
  <c r="F42" i="6"/>
  <c r="G42" i="6" s="1"/>
  <c r="F41" i="6"/>
  <c r="G41" i="6" s="1"/>
  <c r="P5" i="4"/>
  <c r="J10" i="5" s="1"/>
  <c r="E48" i="7"/>
  <c r="C30" i="8"/>
  <c r="G10" i="5"/>
  <c r="D48" i="7"/>
  <c r="B18" i="8"/>
  <c r="C32" i="8"/>
  <c r="H10" i="5"/>
  <c r="F44" i="6"/>
  <c r="C39" i="8"/>
  <c r="C108" i="7"/>
  <c r="D49" i="8"/>
  <c r="C33" i="8"/>
  <c r="M13" i="4"/>
  <c r="P9" i="4"/>
  <c r="J14" i="5" s="1"/>
  <c r="N13" i="4"/>
  <c r="N12" i="4" a="1"/>
  <c r="N12" i="4" s="1"/>
  <c r="I13" i="4"/>
  <c r="I12" i="4"/>
  <c r="I67" i="6" l="1"/>
  <c r="G43" i="8"/>
  <c r="H43" i="8"/>
  <c r="D111" i="7"/>
  <c r="E53" i="8"/>
  <c r="F53" i="8" s="1"/>
  <c r="I66" i="6"/>
  <c r="G41" i="8"/>
  <c r="H41" i="8"/>
  <c r="I64" i="6"/>
  <c r="E51" i="8"/>
  <c r="F51" i="8" s="1"/>
  <c r="D110" i="7"/>
  <c r="F50" i="8"/>
  <c r="G40" i="8"/>
  <c r="H40" i="8"/>
  <c r="H39" i="8"/>
  <c r="G39" i="8"/>
  <c r="J24" i="5"/>
  <c r="F33" i="5" s="1"/>
  <c r="J23" i="5"/>
  <c r="F32" i="5" s="1"/>
  <c r="J19" i="5"/>
  <c r="F28" i="5" s="1"/>
  <c r="J21" i="5"/>
  <c r="F30" i="5" s="1"/>
  <c r="J20" i="5"/>
  <c r="F29" i="5" s="1"/>
  <c r="J22" i="5"/>
  <c r="F31" i="5" s="1"/>
  <c r="H22" i="5"/>
  <c r="H19" i="5"/>
  <c r="H24" i="5"/>
  <c r="H21" i="5"/>
  <c r="H20" i="5"/>
  <c r="H23" i="5"/>
  <c r="G19" i="5"/>
  <c r="G24" i="5"/>
  <c r="G23" i="5"/>
  <c r="G22" i="5"/>
  <c r="G21" i="5"/>
  <c r="G20" i="5"/>
  <c r="D108" i="7"/>
  <c r="E49" i="8"/>
  <c r="F49" i="8" s="1"/>
  <c r="I62" i="6"/>
  <c r="P12" i="4"/>
  <c r="P13" i="4"/>
  <c r="E28" i="5" l="1"/>
  <c r="E44" i="5" s="1"/>
  <c r="E30" i="5"/>
  <c r="F46" i="5" s="1"/>
  <c r="E32" i="5"/>
  <c r="E48" i="5" s="1"/>
  <c r="E29" i="5"/>
  <c r="D45" i="5" s="1"/>
  <c r="E31" i="5"/>
  <c r="F47" i="5" s="1"/>
  <c r="E33" i="5"/>
  <c r="C46" i="5" l="1"/>
  <c r="G31" i="5"/>
  <c r="E20" i="8" s="1"/>
  <c r="F48" i="5"/>
  <c r="G32" i="5"/>
  <c r="G34" i="8" s="1"/>
  <c r="C48" i="5"/>
  <c r="C47" i="5"/>
  <c r="G30" i="5"/>
  <c r="D20" i="8" s="1"/>
  <c r="D48" i="5"/>
  <c r="F44" i="5"/>
  <c r="C44" i="5"/>
  <c r="D44" i="5"/>
  <c r="G28" i="5"/>
  <c r="E47" i="5"/>
  <c r="D47" i="5"/>
  <c r="C45" i="5"/>
  <c r="E45" i="5"/>
  <c r="G29" i="5"/>
  <c r="D34" i="8" s="1"/>
  <c r="F45" i="5"/>
  <c r="D46" i="5"/>
  <c r="E46" i="5"/>
  <c r="B20" i="8"/>
  <c r="C34" i="8"/>
  <c r="C68" i="7"/>
  <c r="F49" i="5"/>
  <c r="C49" i="5"/>
  <c r="G33" i="5"/>
  <c r="E49" i="5"/>
  <c r="D49" i="5"/>
  <c r="F20" i="8" l="1"/>
  <c r="C72" i="7"/>
  <c r="C71" i="7"/>
  <c r="F34" i="8"/>
  <c r="C70" i="7"/>
  <c r="F52" i="5"/>
  <c r="E34" i="8"/>
  <c r="C69" i="7"/>
  <c r="C52" i="5"/>
  <c r="C20" i="8"/>
  <c r="D52" i="5"/>
  <c r="E52" i="5"/>
  <c r="H9" i="8"/>
  <c r="C73" i="7"/>
  <c r="H34" i="8"/>
  <c r="G20" i="8"/>
  <c r="H33" i="5"/>
  <c r="H31" i="5"/>
  <c r="H32" i="5"/>
  <c r="H28" i="5"/>
  <c r="D58" i="8" s="1"/>
  <c r="H29" i="5"/>
  <c r="H30" i="5"/>
  <c r="D60" i="8" l="1"/>
  <c r="D61" i="8"/>
  <c r="D62" i="8"/>
  <c r="D6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Brando Pakel</author>
  </authors>
  <commentList>
    <comment ref="K5" authorId="0" shapeId="0" xr:uid="{D92E1B39-6661-4084-8F21-47AFAC2ECD3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Manual stamp. Update when refreshing data.</t>
        </r>
      </text>
    </comment>
    <comment ref="M5" authorId="0" shapeId="0" xr:uid="{D334E66B-0336-4BD1-8D69-E6F9041A707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User-provided price update. May 22 close.</t>
        </r>
      </text>
    </comment>
    <comment ref="M8" authorId="0" shapeId="0" xr:uid="{CBB6FE61-560E-43EB-B4DC-CA928AAD63F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Q1 FY27 press release, https://www.sec.gov/Archives/edgar/data/1045810/000104581026000051/q1fy27pr.htm — $81.6B revenue, +85% YoY</t>
        </r>
      </text>
    </comment>
    <comment ref="O8" authorId="0" shapeId="0" xr:uid="{61EF2209-2933-47BD-928D-C384FDE9382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LTM = $81.6B Q1FY27 + $68.1B Q4FY26 + $57.0B Q3FY26 + $46.7B Q2FY26 = $253.4B</t>
        </r>
      </text>
    </comment>
    <comment ref="Q8" authorId="0" shapeId="0" xr:uid="{B9157D33-D81D-4DE9-BB64-52003A6BBCB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Q1 FY27 press release (filed May 2026), https://www.sec.gov/Archives/edgar/data/1045810/000104581026000051/q1fy27pr.htm</t>
        </r>
      </text>
    </comment>
    <comment ref="M9" authorId="0" shapeId="0" xr:uid="{E9E53489-351E-4F87-AD1F-E03B19EB437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TSMC Q1 2026 6-K, https://www.sec.gov/Archives/edgar/data/1046179/000104617926000199/a1q26e_withguidancexfinal.htm — $35.9B USD, +40.6% YoY, GM 66.2%</t>
        </r>
      </text>
    </comment>
    <comment ref="O9" authorId="0" shapeId="0" xr:uid="{896A2727-ADE7-4596-B866-78A0536FD5F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LTM = $122.4B FY25 + $35.9B Q1'26 − $25.5B Q1'25 ≈ $132.6B</t>
        </r>
      </text>
    </comment>
    <comment ref="Q9" authorId="0" shapeId="0" xr:uid="{64041CD7-D5A6-4C8D-BEBC-0D159DDF6F5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TSMC Q1 2026 Form 6-K, https://www.sec.gov/Archives/edgar/data/1046179/000104617926000199/a1q26e_withguidancexfinal.htm</t>
        </r>
      </text>
    </comment>
    <comment ref="U9" authorId="0" shapeId="0" xr:uid="{58E5776F-D889-4021-9A77-7FAFD58F073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FY22 10-K — R&amp;D</t>
        </r>
      </text>
    </comment>
    <comment ref="V9" authorId="0" shapeId="0" xr:uid="{E7F45A40-E0DF-402D-ACEF-B4B129E2D01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 2022 20-F R&amp;D</t>
        </r>
      </text>
    </comment>
    <comment ref="W9" authorId="0" shapeId="0" xr:uid="{DA1A4F8C-6159-4E1F-8C0A-72EBF39ABF5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VRT R&amp;D FY21</t>
        </r>
      </text>
    </comment>
    <comment ref="X9" authorId="0" shapeId="0" xr:uid="{3006E062-71F6-43DD-A936-8082516C382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NET R&amp;D FY21</t>
        </r>
      </text>
    </comment>
    <comment ref="Y9" authorId="0" shapeId="0" xr:uid="{10259B41-C0DB-4567-8E93-1E6A0A23B88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PLTR R&amp;D FY21</t>
        </r>
      </text>
    </comment>
    <comment ref="Z9" authorId="0" shapeId="0" xr:uid="{90A23057-3371-4739-860D-924B1CECA8F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MDB R&amp;D FY22</t>
        </r>
      </text>
    </comment>
    <comment ref="D10" authorId="0" shapeId="0" xr:uid="{675CFC97-B541-492F-848A-ABAEE5BE7C4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FY2023 10-K, https://www.sec.gov/Archives/edgar/data/1045810/000104581023000017/nvda-20230129.htm</t>
        </r>
      </text>
    </comment>
    <comment ref="E10" authorId="0" shapeId="0" xr:uid="{A7E46D1A-5540-4D56-945A-9A637ECDB49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FY2023 10-K, https://www.sec.gov/Archives/edgar/data/1045810/000104581023000017/nvda-20230129.htm</t>
        </r>
      </text>
    </comment>
    <comment ref="F10" authorId="0" shapeId="0" xr:uid="{94A714F8-2517-428D-B518-1BDA0C1B62D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FY2026 10-K, https://www.sec.gov/Archives/edgar/data/1045810/000104581026000021/nvda-20260125.htm</t>
        </r>
      </text>
    </comment>
    <comment ref="G10" authorId="0" shapeId="0" xr:uid="{DE1FE22C-0C94-4FCE-9512-F0B64B2E71F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FY2026 10-K, https://www.sec.gov/Archives/edgar/data/1045810/000104581026000021/nvda-20260125.htm</t>
        </r>
      </text>
    </comment>
    <comment ref="H10" authorId="0" shapeId="0" xr:uid="{80E3DE2E-139B-441B-BCB3-E701F6AB498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FY2026 10-K, https://www.sec.gov/Archives/edgar/data/1045810/000104581026000021/nvda-20260125.htm</t>
        </r>
      </text>
    </comment>
    <comment ref="M10" authorId="0" shapeId="0" xr:uid="{AD68A172-95E1-4967-8257-969D03444A6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Q1 2026 10-Q, https://www.sec.gov/Archives/edgar/data/0001674101/000162828026026556/vrt-20260331.htm — $2,649.5M, +30% YoY, op profit $440M (16.6% op margin)</t>
        </r>
      </text>
    </comment>
    <comment ref="O10" authorId="0" shapeId="0" xr:uid="{EF42B94F-20FF-4C5B-841B-0EC4BA82016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LTM = $10,229.9M FY25 + $2,649.5M Q1'26 − $2,036.0M Q1'25 ≈ $10,843M</t>
        </r>
      </text>
    </comment>
    <comment ref="Q10" authorId="0" shapeId="0" xr:uid="{34717B3A-FA46-42D6-B37B-665EA6A5A4C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Q1 2026 10-Q, https://www.sec.gov/Archives/edgar/data/0001674101/000162828026026556/vrt-20260331.htm</t>
        </r>
      </text>
    </comment>
    <comment ref="U10" authorId="0" shapeId="0" xr:uid="{D59BD03B-F071-4331-8044-E7D2D9DD7DA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FY23 10-K</t>
        </r>
      </text>
    </comment>
    <comment ref="V10" authorId="0" shapeId="0" xr:uid="{37E5BF70-4E20-4A32-A0C6-E1A67220AE1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 2022 20-F</t>
        </r>
      </text>
    </comment>
    <comment ref="W10" authorId="0" shapeId="0" xr:uid="{D176BA79-49D2-4D79-B088-8A8EBED8512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X10" authorId="0" shapeId="0" xr:uid="{6E74D50A-8203-4F43-AACC-6FE0FE0FC40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Y10" authorId="0" shapeId="0" xr:uid="{53B35567-D96A-41AD-B4AB-13C46236C36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Z10" authorId="0" shapeId="0" xr:uid="{E7611ED4-FF2F-49C2-A1EE-90298FF2957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M11" authorId="0" shapeId="0" xr:uid="{17CAB640-2989-440B-9717-BDEB02A991A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Q1 2026 8-K filed May 7, 2026 — $639.8M, +34% YoY. Non-GAAP op income $73.1M (11.4% margin).</t>
        </r>
      </text>
    </comment>
    <comment ref="O11" authorId="0" shapeId="0" xr:uid="{549C1803-4F08-4B3B-8534-980D62900B5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LTM = $2,167.9M FY25 + $639.8M Q1'26 − $479.1M Q1'25 ≈ $2,328.6M</t>
        </r>
      </text>
    </comment>
    <comment ref="Q11" authorId="0" shapeId="0" xr:uid="{431EE46A-6105-4BC2-8838-AA4F42CAB61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Cloudflare Q1 2026 results, 8-K filed May 7, 2026</t>
        </r>
      </text>
    </comment>
    <comment ref="U11" authorId="0" shapeId="0" xr:uid="{0BE17902-7EFD-451C-9699-E52E9024FCA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FY24 10-K</t>
        </r>
      </text>
    </comment>
    <comment ref="V11" authorId="0" shapeId="0" xr:uid="{78D320F5-7DC2-4401-AECA-9C7B89050F5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 2023 AR</t>
        </r>
      </text>
    </comment>
    <comment ref="W11" authorId="0" shapeId="0" xr:uid="{95830A78-D21E-414E-B44D-EC5FCEA1A4A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X11" authorId="0" shapeId="0" xr:uid="{F63342B6-6499-4A77-809C-A25C3BA7805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Y11" authorId="0" shapeId="0" xr:uid="{1B6FBE81-25A7-4EF7-98E8-8D2194094FD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Z11" authorId="0" shapeId="0" xr:uid="{4241F14D-5D4F-464A-8C24-D8E6EEE92FD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M12" authorId="0" shapeId="0" xr:uid="{A52706DA-CA05-40CD-861F-F40E1B6165C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Q1 2026 10-Q — $1.63B revenue, +85% YoY, GM 87%, $754M op income (46% op margin). 2026 FY guidance: $7.65-7.66B (+71%)</t>
        </r>
      </text>
    </comment>
    <comment ref="O12" authorId="0" shapeId="0" xr:uid="{2031BA7E-1004-492B-8C76-88FF800C8E1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LTM = $4,475.4M FY25 + $1,626M Q1'26 − $883.9M Q1'25 ≈ $5,217.5M</t>
        </r>
      </text>
    </comment>
    <comment ref="Q12" authorId="0" shapeId="0" xr:uid="{31B4FB8C-2BD4-4E57-912F-6090C0004F7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Palantir Q1 2026 earnings release &amp; 10-Q, filed May 2026</t>
        </r>
      </text>
    </comment>
    <comment ref="U12" authorId="0" shapeId="0" xr:uid="{61487A4F-728E-425C-99C2-99ADE1C2BEC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FY25 10-K</t>
        </r>
      </text>
    </comment>
    <comment ref="V12" authorId="0" shapeId="0" xr:uid="{5BB746F7-EF66-431F-9D92-038AC951C85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 2024 AR</t>
        </r>
      </text>
    </comment>
    <comment ref="W12" authorId="0" shapeId="0" xr:uid="{E40D1091-41DC-4A61-BCAB-671A685FD8E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X12" authorId="0" shapeId="0" xr:uid="{F82D60D7-88CE-4034-A373-B3B8EE4418D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Y12" authorId="0" shapeId="0" xr:uid="{B748A010-A584-427D-A136-054B80AB49A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Z12" authorId="0" shapeId="0" xr:uid="{78088F9C-3D03-4C50-A565-10A5CF3F240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</t>
        </r>
      </text>
    </comment>
    <comment ref="M13" authorId="0" shapeId="0" xr:uid="{B0DBA959-8D7F-48CA-BBA8-A9DCD28E659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Q4 FY26 release, https://investors.mongodb.com — $695.1M, +27% YoY. Atlas $2B annualized run rate. Stock −20% after-hours on FY27 guidance miss.</t>
        </r>
      </text>
    </comment>
    <comment ref="O13" authorId="0" shapeId="0" xr:uid="{2878C864-0F83-4BD4-9FC9-84C9873D597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LTM unchanged — workbook already reflects FY26 (year ended Jan 31, 2026). Q1 FY27 not yet reported.</t>
        </r>
      </text>
    </comment>
    <comment ref="Q13" authorId="0" shapeId="0" xr:uid="{B5E916EB-0445-448A-87C0-6D18735FC68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MongoDB Q4 FY26 results (March 2, 2026)</t>
        </r>
      </text>
    </comment>
    <comment ref="U13" authorId="0" shapeId="0" xr:uid="{76F6C4A1-591E-475F-841A-6BF0A33059D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FY26 10-K, https://www.sec.gov/Archives/edgar/data/0001045810/000104581026000021/nvda-20260125.htm</t>
        </r>
      </text>
    </comment>
    <comment ref="V13" authorId="0" shapeId="0" xr:uid="{6885ADA7-F1CB-48BF-8278-4BC1A94D930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 2025 AR — R&amp;D NT$240B / ~31 FX. R&amp;D held ~6.3% of revenue</t>
        </r>
      </text>
    </comment>
    <comment ref="W13" authorId="0" shapeId="0" xr:uid="{A87C1100-BD23-4DB9-8279-BF7F8376F33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FY25 10-K — R&amp;D ~4.6% of revenue, industrial-tech level</t>
        </r>
      </text>
    </comment>
    <comment ref="X13" authorId="0" shapeId="0" xr:uid="{0B13AAB6-250C-4A4B-832A-DFB763767AD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FY25 10-K — R&amp;D 29% of revenue</t>
        </r>
      </text>
    </comment>
    <comment ref="Y13" authorId="0" shapeId="0" xr:uid="{B17E3F8F-89C0-4291-BC51-C5C981B2CD9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FY25 10-K R&amp;D 13.7% of revenue</t>
        </r>
      </text>
    </comment>
    <comment ref="Z13" authorId="0" shapeId="0" xr:uid="{4F6C4778-F521-4C19-B4C4-5FA257A53A9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FY26 10-K R&amp;D ~30% of revenue. Vector + Voyage AI investment.</t>
        </r>
      </text>
    </comment>
    <comment ref="K15" authorId="0" shapeId="0" xr:uid="{D0B11DD9-A579-4FF1-BBB7-3A0A8F6704B0}">
      <text>
        <r>
          <rPr>
            <b/>
            <sz val="9"/>
            <color indexed="81"/>
            <rFont val="Tahoma"/>
            <charset val="1"/>
          </rPr>
          <t>FY: revenue = latest fiscal-year filing.
LTM: revenue = latest FY + most recent Q − same Q one year ago.
TOGGLE SCOPE:
✓ Revenue (Comp Table E)
✓ Rev YoY (Comp Table F)
✓ EV/Revenue (Comp Table M)
✗ Margins, EBITDA, EV/EBITDA, 3Y CAGR (remain FY — LTM not loaded for these)
Default FY for clean CAGR comparison.</t>
        </r>
      </text>
    </comment>
    <comment ref="U16" authorId="0" shapeId="0" xr:uid="{AA9716CE-113E-4080-B92A-F1BE79C0556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does not break out S&amp;M separately; combined into SG&amp;A</t>
        </r>
      </text>
    </comment>
    <comment ref="V16" authorId="0" shapeId="0" xr:uid="{1AC52512-78F1-428E-9C2E-E6D6B6133C0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marketing FY22 (~NT$5B / 28)</t>
        </r>
      </text>
    </comment>
    <comment ref="W16" authorId="0" shapeId="0" xr:uid="{81CB185C-E8AF-4817-A317-62C00EF3586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VRT S&amp;M FY21 — included in SG&amp;A</t>
        </r>
      </text>
    </comment>
    <comment ref="X16" authorId="0" shapeId="0" xr:uid="{3690E004-D560-4CCC-9F1A-3858E9B8B97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NET S&amp;M FY21</t>
        </r>
      </text>
    </comment>
    <comment ref="Y16" authorId="0" shapeId="0" xr:uid="{A23307CB-CDB8-4473-96CA-E2CD9F6CABF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PLTR S&amp;M FY21</t>
        </r>
      </text>
    </comment>
    <comment ref="Z16" authorId="0" shapeId="0" xr:uid="{963120D7-DD98-4C82-B807-5333B2D5C46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MDB S&amp;M FY22</t>
        </r>
      </text>
    </comment>
    <comment ref="V17" authorId="0" shapeId="0" xr:uid="{74A2BEDE-18F6-4273-A918-3520B02736F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W17" authorId="0" shapeId="0" xr:uid="{6ADCAEFC-5089-450A-BDFC-2F61C8B7B81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X17" authorId="0" shapeId="0" xr:uid="{C9A605C4-0478-4F19-BB7D-8FB4A97234E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Y17" authorId="0" shapeId="0" xr:uid="{40EA539D-FFF4-4691-AE5D-1CFEE005B69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Z17" authorId="0" shapeId="0" xr:uid="{55AA832C-AA38-40B5-833B-531497DDA5A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D18" authorId="0" shapeId="0" xr:uid="{CE3AD4CD-D283-4740-9722-303B90EB3F9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FY2022 reported $3.85 pre-split; adjusted for 10:1 split (Jun 2024)</t>
        </r>
      </text>
    </comment>
    <comment ref="E18" authorId="0" shapeId="0" xr:uid="{8E7FB9C0-C24E-43E4-B865-7CE4BBC5291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FY2023 reported $1.74 pre-split; adjusted for 10:1 split (Jun 2024)</t>
        </r>
      </text>
    </comment>
    <comment ref="V18" authorId="0" shapeId="0" xr:uid="{63033D73-B5D6-43D0-82CD-FFC8B30C49F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W18" authorId="0" shapeId="0" xr:uid="{3021C954-46B8-4E46-8227-44CD2A5A22B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X18" authorId="0" shapeId="0" xr:uid="{1234A098-37DF-4E67-AF27-D2D6D6CD100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Y18" authorId="0" shapeId="0" xr:uid="{239C4AE6-9C2C-4D0F-94A8-E7C0EBE3996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Z18" authorId="0" shapeId="0" xr:uid="{3CA32619-D8DA-46EE-9630-3D6B6BF629F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V19" authorId="0" shapeId="0" xr:uid="{498E1C0A-1796-4AAD-85EB-75602715801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</t>
        </r>
      </text>
    </comment>
    <comment ref="W19" authorId="0" shapeId="0" xr:uid="{E5810B8C-D369-482E-822C-8FAE758535C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X19" authorId="0" shapeId="0" xr:uid="{A3A174D4-A84C-42A4-8CB6-6408495364D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Y19" authorId="0" shapeId="0" xr:uid="{96BB441B-A9D4-41C2-B224-F2114B55FC0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Z19" authorId="0" shapeId="0" xr:uid="{6FD49891-A430-4E3E-B47A-7D960B4FAD6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</t>
        </r>
      </text>
    </comment>
    <comment ref="U20" authorId="0" shapeId="0" xr:uid="{BD8ADE74-975C-4F7C-B95B-9C5DFEA9D1C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Combined into G&amp;A — see G&amp;A row</t>
        </r>
      </text>
    </comment>
    <comment ref="V20" authorId="0" shapeId="0" xr:uid="{3464D4DE-3317-40DF-800D-F1F7E22E3A6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 2025 AR — Marketing NT$17B / 31 ≈ $270M (very small, atypical for tech — foundry model)</t>
        </r>
      </text>
    </comment>
    <comment ref="W20" authorId="0" shapeId="0" xr:uid="{2A84FBA6-5A9B-4594-8E93-71755E33F2B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FY25 10-K Selling expenses</t>
        </r>
      </text>
    </comment>
    <comment ref="X20" authorId="0" shapeId="0" xr:uid="{72720E16-2A90-4938-B916-D71FC9D7725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FY25 10-K — S&amp;M 32% of revenue. Heavy growth investment.</t>
        </r>
      </text>
    </comment>
    <comment ref="Y20" authorId="0" shapeId="0" xr:uid="{23D7E748-DFB6-4489-89C3-C131BA16A40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FY25 10-K S&amp;M 17.1% of revenue</t>
        </r>
      </text>
    </comment>
    <comment ref="Z20" authorId="0" shapeId="0" xr:uid="{649B9AFC-0E67-4C1D-A6D8-73DF8089D73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FY26 10-K S&amp;M ~34% of revenue. Largest single line item.</t>
        </r>
      </text>
    </comment>
    <comment ref="U23" authorId="0" shapeId="0" xr:uid="{D012EE59-34B6-40D0-8748-52173BDB0DD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FY22 SG&amp;A (combined S&amp;M + G&amp;A)</t>
        </r>
      </text>
    </comment>
    <comment ref="V23" authorId="0" shapeId="0" xr:uid="{0AAFEC77-F8B1-488C-8A50-8203E894E00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FY22 G&amp;A</t>
        </r>
      </text>
    </comment>
    <comment ref="W23" authorId="0" shapeId="0" xr:uid="{180BDB0B-89FC-4E26-81C4-AAA1D2AC68B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VRT G&amp;A FY21</t>
        </r>
      </text>
    </comment>
    <comment ref="X23" authorId="0" shapeId="0" xr:uid="{897DAD99-088E-4EAE-8A71-367277DDB5C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NET G&amp;A FY21</t>
        </r>
      </text>
    </comment>
    <comment ref="Y23" authorId="0" shapeId="0" xr:uid="{39855446-6C99-4A16-AE32-E0DEA7E3C52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PLTR G&amp;A FY21 — elevated post-IPO incl SBC</t>
        </r>
      </text>
    </comment>
    <comment ref="Z23" authorId="0" shapeId="0" xr:uid="{BE00FECE-84FE-4D53-9F11-805BB770C56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MDB G&amp;A FY22</t>
        </r>
      </text>
    </comment>
    <comment ref="U24" authorId="0" shapeId="0" xr:uid="{7824EFB6-E47A-4EB7-ABDB-F4A91339A8B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FY23 SG&amp;A</t>
        </r>
      </text>
    </comment>
    <comment ref="V24" authorId="0" shapeId="0" xr:uid="{FE29DD66-B026-4F48-ABB5-D8D72C90A8B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W24" authorId="0" shapeId="0" xr:uid="{1983A75C-DDB6-4DF7-A868-30B7DF5599A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X24" authorId="0" shapeId="0" xr:uid="{1148C912-C054-4D92-ABBE-B4D7C6ADFC6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Y24" authorId="0" shapeId="0" xr:uid="{49FD5ECE-0BBB-46AD-ACB1-2090A43219E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Z24" authorId="0" shapeId="0" xr:uid="{C82886D6-1C83-4E54-BE58-EBD98B1AAE6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U25" authorId="0" shapeId="0" xr:uid="{2EEB2616-B471-4B41-B03A-7C465DF69EC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FY24 SG&amp;A</t>
        </r>
      </text>
    </comment>
    <comment ref="V25" authorId="0" shapeId="0" xr:uid="{8480ECD6-7288-47A3-9088-D20698161B7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W25" authorId="0" shapeId="0" xr:uid="{2498B1BB-5473-46C3-B335-36C9F68CBE8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X25" authorId="0" shapeId="0" xr:uid="{4E8FF8D0-1EF1-44BF-B2A0-DA437300A8F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Y25" authorId="0" shapeId="0" xr:uid="{32DE1CE3-DA9E-4802-8709-BE0E8D64F83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Z25" authorId="0" shapeId="0" xr:uid="{0993256C-0F64-4593-A4A9-DBC1DBB47C8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U26" authorId="0" shapeId="0" xr:uid="{1AC76F58-498D-41E0-8F6B-9A0A1FB7716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FY25 SG&amp;A</t>
        </r>
      </text>
    </comment>
    <comment ref="V26" authorId="0" shapeId="0" xr:uid="{25D4197B-E785-4976-9ED5-F2154586232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</t>
        </r>
      </text>
    </comment>
    <comment ref="W26" authorId="0" shapeId="0" xr:uid="{953F7319-73D7-4F11-AD8B-ADC67B5250D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X26" authorId="0" shapeId="0" xr:uid="{FD271602-A9DC-4CEB-98BE-A569DD5654B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Y26" authorId="0" shapeId="0" xr:uid="{7E14694E-0C0A-4AAC-BB76-21220AEA8D5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Z26" authorId="0" shapeId="0" xr:uid="{6A9E814A-32AF-41B7-A2B6-2841BBE9788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</t>
        </r>
      </text>
    </comment>
    <comment ref="D27" authorId="0" shapeId="0" xr:uid="{2DA5962F-0310-4EB4-9B1B-14957133F9A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Short-term + long-term debt</t>
        </r>
      </text>
    </comment>
    <comment ref="U27" authorId="0" shapeId="0" xr:uid="{6DA71591-5908-4EA6-AC94-E5CF4E2B4C9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FY26 10-K SG&amp;A (includes S&amp;M)</t>
        </r>
      </text>
    </comment>
    <comment ref="V27" authorId="0" shapeId="0" xr:uid="{CB6D5A99-24E0-4C37-8934-AFC52962CB0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 2025 AR G&amp;A NT$90B / 31 ≈ $2.9B</t>
        </r>
      </text>
    </comment>
    <comment ref="W27" authorId="0" shapeId="0" xr:uid="{9B61AAA2-8F1B-414B-ABD2-455B5CAD188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FY25 10-K G&amp;A</t>
        </r>
      </text>
    </comment>
    <comment ref="X27" authorId="0" shapeId="0" xr:uid="{99B93B16-24C1-403C-A6E1-C1F2CD917D6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FY25 10-K G&amp;A 12% of revenue</t>
        </r>
      </text>
    </comment>
    <comment ref="Y27" authorId="0" shapeId="0" xr:uid="{D463EC91-EDC7-43C2-9AAB-955F718BB50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FY25 10-K G&amp;A 20% of revenue</t>
        </r>
      </text>
    </comment>
    <comment ref="Z27" authorId="0" shapeId="0" xr:uid="{AB9E6724-9B73-4693-B3D7-EBB4757B64C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FY26 10-K G&amp;A 12% of revenue</t>
        </r>
      </text>
    </comment>
    <comment ref="D28" authorId="0" shapeId="0" xr:uid="{295B7C0D-C84E-487A-A9A6-7E403B00D3B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Diluted shares, adjusted for 10:1 split (Jun 2024)</t>
        </r>
      </text>
    </comment>
    <comment ref="E28" authorId="0" shapeId="0" xr:uid="{6CF77074-8441-4238-A935-E0C1F79D7B2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Adjusted for 10:1 split</t>
        </r>
      </text>
    </comment>
    <comment ref="F28" authorId="0" shapeId="0" xr:uid="{5D439558-2D0C-44D7-96FE-982ACE2A9DA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Adjusted for 10:1 split</t>
        </r>
      </text>
    </comment>
    <comment ref="U30" authorId="0" shapeId="0" xr:uid="{6C5D45C5-7248-4005-BB48-A151C63BAF3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FY22 SBC</t>
        </r>
      </text>
    </comment>
    <comment ref="V30" authorId="0" shapeId="0" xr:uid="{89E54E43-7D5C-454B-862E-47CB572AC7B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Minimal — TSM uses cash bonuses, not stock comp</t>
        </r>
      </text>
    </comment>
    <comment ref="W30" authorId="0" shapeId="0" xr:uid="{0AE745F0-52B7-4D76-9CAA-EBB9091B42F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VRT SBC FY21 — low; industrial profile</t>
        </r>
      </text>
    </comment>
    <comment ref="X30" authorId="0" shapeId="0" xr:uid="{1FE5A8CC-0175-499A-BDD9-D04486F3DF9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NET SBC FY21</t>
        </r>
      </text>
    </comment>
    <comment ref="Y30" authorId="0" shapeId="0" xr:uid="{9238C8EF-24F1-4A5B-9FF7-00C6D410303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PLTR SBC FY21 — massive post-DPO awards</t>
        </r>
      </text>
    </comment>
    <comment ref="Z30" authorId="0" shapeId="0" xr:uid="{F188FDE5-081E-4407-B3A5-318F2D36452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MDB SBC FY22</t>
        </r>
      </text>
    </comment>
    <comment ref="H31" authorId="0" shapeId="0" xr:uid="{90CA0583-4F1F-4717-8C78-4955DF4DEB7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Placeholder — update with current NVDA price. As of May 2026 ~$180. Source: user-provided</t>
        </r>
      </text>
    </comment>
    <comment ref="U31" authorId="0" shapeId="0" xr:uid="{1CEE5919-FC21-4A97-BA0B-A77D6988FF6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FY23 SBC</t>
        </r>
      </text>
    </comment>
    <comment ref="W31" authorId="0" shapeId="0" xr:uid="{44DF28E7-A310-40F7-8336-08B373BFB07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X31" authorId="0" shapeId="0" xr:uid="{16738F01-A68C-4A83-B718-63738F6FD8B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Y31" authorId="0" shapeId="0" xr:uid="{2B25177F-B7BF-470B-A7F9-7DFAE09F496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Z31" authorId="0" shapeId="0" xr:uid="{F8A0837C-3C3E-40C4-BBD1-6A9A60A4CC6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U32" authorId="0" shapeId="0" xr:uid="{0D3F10AD-B9DE-478A-8620-4566E2959AD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FY24 SBC</t>
        </r>
      </text>
    </comment>
    <comment ref="W32" authorId="0" shapeId="0" xr:uid="{2A329E7C-76AF-46B3-8C06-6EC67E54302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X32" authorId="0" shapeId="0" xr:uid="{DA1317F3-D0E7-4C30-86D6-779676BA1C7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Y32" authorId="0" shapeId="0" xr:uid="{93B7DEC6-E3F5-42A4-B81E-C5D0C6D2157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Z32" authorId="0" shapeId="0" xr:uid="{D4775D03-E877-47C8-9877-F4DAC47F6CA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U33" authorId="0" shapeId="0" xr:uid="{4A44B51E-1322-4B13-B6C9-7D5995EE011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FY25 SBC</t>
        </r>
      </text>
    </comment>
    <comment ref="W33" authorId="0" shapeId="0" xr:uid="{8F070349-F3CB-4442-9045-D61FC861CAC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X33" authorId="0" shapeId="0" xr:uid="{1E857E0C-4A86-4790-8DDC-CFD9D75A8EF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Y33" authorId="0" shapeId="0" xr:uid="{50199A26-008D-4461-9AE6-95FFBADAFCF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Z33" authorId="0" shapeId="0" xr:uid="{9943FF97-D1B8-4F66-8CEE-FB068D6A84A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</t>
        </r>
      </text>
    </comment>
    <comment ref="U34" authorId="0" shapeId="0" xr:uid="{F8AC1D04-9C75-45AD-8957-6104AA3238A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FY26 10-K — total SBC across all functions. Sum of quarterly: Q1 1470 + Q2 1500 + Q3 1653 + Q4 1500 ≈ 6121</t>
        </r>
      </text>
    </comment>
    <comment ref="V34" authorId="0" shapeId="0" xr:uid="{444C687E-31A6-422D-A53D-50977E564FE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operates on Taiwanese cash-bonus model. SBC &lt; 0.1% of revenue. Major structural difference vs US tech.</t>
        </r>
      </text>
    </comment>
    <comment ref="W34" authorId="0" shapeId="0" xr:uid="{94C9DE1A-44D2-4469-AE9F-910FD943466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FY25 10-K — SBC ~1% of revenue, much lower than software peers</t>
        </r>
      </text>
    </comment>
    <comment ref="X34" authorId="0" shapeId="0" xr:uid="{8FC57A92-9EDE-44B2-9134-BA34C235D6C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FY25 10-K — SBC ~16% of revenue. The big GAAP-to-non-GAAP bridge.</t>
        </r>
      </text>
    </comment>
    <comment ref="Y34" authorId="0" shapeId="0" xr:uid="{7DE08EC9-BEAD-4D14-9A7F-CE187E32DE7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FY25 10-K — SBC ~21% of revenue. Highest SBC-to-revenue ratio in the sample.</t>
        </r>
      </text>
    </comment>
    <comment ref="Z34" authorId="0" shapeId="0" xr:uid="{EB309D72-72F0-4B60-85D1-D730E01BD03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FY26 10-K — SBC ~18% of revenue. Major GAAP-to-non-GAAP bridge.</t>
        </r>
      </text>
    </comment>
    <comment ref="U37" authorId="0" shapeId="0" xr:uid="{E941A522-E45B-4172-B9A3-FC821749821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Negligible / not separately disclosed</t>
        </r>
      </text>
    </comment>
    <comment ref="W37" authorId="0" shapeId="0" xr:uid="{679CB692-77FC-4D2D-9E79-3D86FA93DA6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Amortization of acquired intangibles + restructuring; VRT FY25 10-K</t>
        </r>
      </text>
    </comment>
    <comment ref="X37" authorId="0" shapeId="0" xr:uid="{576B2E7D-AAB0-4BBA-A5E4-9A547935610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Restructuring + amort. (incl FY26 $140-150M AI restructuring — booked partially in FY25 prep)</t>
        </r>
      </text>
    </comment>
    <comment ref="Z37" authorId="0" shapeId="0" xr:uid="{785C9B08-2090-411C-9D0B-EEC4C557974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Restructuring + amort.</t>
        </r>
      </text>
    </comment>
    <comment ref="D39" authorId="0" shapeId="0" xr:uid="{2D9F2313-251D-4C8C-8489-0946CAC74E57}">
      <text>
        <r>
          <rPr>
            <b/>
            <sz val="9"/>
            <color indexed="81"/>
            <rFont val="Tahoma"/>
            <charset val="1"/>
          </rPr>
          <t>Source: TSMC 2022 Annual Report, investor.tsmc.com</t>
        </r>
      </text>
    </comment>
    <comment ref="E39" authorId="0" shapeId="0" xr:uid="{481EAE2D-5F7B-49E4-BCD2-9615D11C9A0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TSMC 2022 Annual Report (USD), https://investor.tsmc.com/static/annualReports/2022/english/index.html</t>
        </r>
      </text>
    </comment>
    <comment ref="F39" authorId="0" shapeId="0" xr:uid="{B3A7D2CF-4EA7-443E-BFCE-4F91646BF31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TSMC 2022 Annual Report (USD), https://investor.tsmc.com/static/annualReports/2022/english/index.html</t>
        </r>
      </text>
    </comment>
    <comment ref="G39" authorId="0" shapeId="0" xr:uid="{11767B9C-4B0E-4072-BC38-E10A5F3B14FE}">
      <text>
        <r>
          <rPr>
            <b/>
            <sz val="9"/>
            <color indexed="81"/>
            <rFont val="Tahoma"/>
            <charset val="1"/>
          </rPr>
          <t>Source: TSMC 2024 Annual Report</t>
        </r>
      </text>
    </comment>
    <comment ref="H39" authorId="0" shapeId="0" xr:uid="{2407510A-5BB5-45A9-AC33-9BA8A67E7A80}">
      <text>
        <r>
          <rPr>
            <b/>
            <sz val="9"/>
            <color indexed="81"/>
            <rFont val="Tahoma"/>
            <charset val="1"/>
          </rPr>
          <t>Source: TSMC 2025 Annual Report, investor.tsmc.com/static/annualReports/2025/english</t>
        </r>
      </text>
    </comment>
    <comment ref="D40" authorId="0" shapeId="0" xr:uid="{7791655B-839A-45E3-B0BA-D7606BAB4385}">
      <text>
        <r>
          <rPr>
            <b/>
            <sz val="9"/>
            <color indexed="81"/>
            <rFont val="Tahoma"/>
            <charset val="1"/>
          </rPr>
          <t>Calc from Rev × (1 - GM); FY21 GM 51.6%</t>
        </r>
      </text>
    </comment>
    <comment ref="E40" authorId="0" shapeId="0" xr:uid="{A68B0BBD-837C-4D1B-949D-4CEB5DB3AF85}">
      <text>
        <r>
          <rPr>
            <b/>
            <sz val="9"/>
            <color indexed="81"/>
            <rFont val="Tahoma"/>
            <charset val="1"/>
          </rPr>
          <t>GM 59.6%</t>
        </r>
      </text>
    </comment>
    <comment ref="F40" authorId="0" shapeId="0" xr:uid="{0BACDFDA-AA7D-48D4-8EE8-AD6812ACEBC8}">
      <text>
        <r>
          <rPr>
            <b/>
            <sz val="9"/>
            <color indexed="81"/>
            <rFont val="Tahoma"/>
            <charset val="1"/>
          </rPr>
          <t>GM 54.4%</t>
        </r>
      </text>
    </comment>
    <comment ref="G40" authorId="0" shapeId="0" xr:uid="{B4EC8DC5-EFDF-4433-BB05-FD92187BD2AF}">
      <text>
        <r>
          <rPr>
            <b/>
            <sz val="9"/>
            <color indexed="81"/>
            <rFont val="Tahoma"/>
            <charset val="1"/>
          </rPr>
          <t>GM 56.1%</t>
        </r>
      </text>
    </comment>
    <comment ref="H40" authorId="0" shapeId="0" xr:uid="{29C81742-C554-428F-9E70-70E5BFFB5A7D}">
      <text>
        <r>
          <rPr>
            <b/>
            <sz val="9"/>
            <color indexed="81"/>
            <rFont val="Tahoma"/>
            <charset val="1"/>
          </rPr>
          <t>GM 59.9%; calc Rev*(1-0.599)</t>
        </r>
      </text>
    </comment>
    <comment ref="D41" authorId="0" shapeId="0" xr:uid="{632F1522-7DD5-4A1D-898C-19028F4DDF5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FY2022 10-K, https://www.sec.gov/Archives/edgar/data/1674101/000162828023005248/vrt-20221231.htm</t>
        </r>
      </text>
    </comment>
    <comment ref="G41" authorId="0" shapeId="0" xr:uid="{727CB220-CE72-4084-945E-03B3987687C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FY2024 10-K, https://www.sec.gov/Archives/edgar/data/0001674101/000162828025005905/vrt-20241231.htm</t>
        </r>
      </text>
    </comment>
    <comment ref="U41" authorId="0" shapeId="0" xr:uid="{08DFC728-8B1C-48A4-B763-A8ED9765ED7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FY22 Non-GAAP op income</t>
        </r>
      </text>
    </comment>
    <comment ref="V41" authorId="0" shapeId="0" xr:uid="{9E024C16-EB9E-49D7-BF23-8986403578D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FY22 op income approximated (TIFRS → USD)</t>
        </r>
      </text>
    </comment>
    <comment ref="W41" authorId="0" shapeId="0" xr:uid="{2737E57D-5853-41FB-AD32-E6ACA786734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VRT Non-GAAP op income FY21</t>
        </r>
      </text>
    </comment>
    <comment ref="X41" authorId="0" shapeId="0" xr:uid="{EA737C76-3C57-4C5E-8D1B-B67A3313A36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NET Non-GAAP op income FY21 (~breakeven)</t>
        </r>
      </text>
    </comment>
    <comment ref="Y41" authorId="0" shapeId="0" xr:uid="{780DAEE6-8C5E-4AE7-84DE-D1196AA8BB6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PLTR Non-GAAP op income FY21</t>
        </r>
      </text>
    </comment>
    <comment ref="Z41" authorId="0" shapeId="0" xr:uid="{B26FC16A-37DF-489C-A553-0FA189EB7CC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MDB FY22 Non-GAAP op income</t>
        </r>
      </text>
    </comment>
    <comment ref="D42" authorId="0" shapeId="0" xr:uid="{96FFA8D6-B761-4076-9E30-045B04406C49}">
      <text>
        <r>
          <rPr>
            <b/>
            <sz val="9"/>
            <color indexed="81"/>
            <rFont val="Tahoma"/>
            <charset val="1"/>
          </rPr>
          <t>Calc: GP - OpInc; OpM 40.9%</t>
        </r>
      </text>
    </comment>
    <comment ref="E42" authorId="0" shapeId="0" xr:uid="{D49BE0D7-991F-46BE-8204-E7AFC431FA57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OpM 49.5%</t>
        </r>
      </text>
    </comment>
    <comment ref="F42" authorId="0" shapeId="0" xr:uid="{CDDC552C-9D20-43CF-979E-B8113E1E1B42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OpM 42.6%</t>
        </r>
      </text>
    </comment>
    <comment ref="G42" authorId="0" shapeId="0" xr:uid="{24B9462B-A440-4B9D-9C7B-E2BC19434D03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OpM 45.7%</t>
        </r>
      </text>
    </comment>
    <comment ref="H42" authorId="0" shapeId="0" xr:uid="{ADF6A681-4FE7-4337-B539-BBADBE014188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OpM 50.8%; calc Rev*(GM-OpM)</t>
        </r>
      </text>
    </comment>
    <comment ref="U42" authorId="0" shapeId="0" xr:uid="{C45E69A9-AEE1-42D5-B2DF-61C0E006E8F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FY23 Non-GAAP op income</t>
        </r>
      </text>
    </comment>
    <comment ref="V42" authorId="0" shapeId="0" xr:uid="{4BC647DF-2AB2-4907-842E-90EEC68D663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W42" authorId="0" shapeId="0" xr:uid="{04F095EB-464C-42A8-BB07-3A25ADE57A6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X42" authorId="0" shapeId="0" xr:uid="{68259FA8-EB95-4501-B68E-A24C36F45DD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Y42" authorId="0" shapeId="0" xr:uid="{C67673D7-B895-4E88-AD8F-ACD6C0DCED8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FY22</t>
        </r>
      </text>
    </comment>
    <comment ref="Z42" authorId="0" shapeId="0" xr:uid="{D72997CB-5736-43A3-ACEE-60F9D2D4646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D43" authorId="0" shapeId="0" xr:uid="{4076C14E-DF9C-4B54-A55B-8D6CB3B86A16}">
      <text>
        <r>
          <rPr>
            <b/>
            <sz val="9"/>
            <color indexed="81"/>
            <rFont val="Tahoma"/>
            <charset val="1"/>
          </rPr>
          <t>Income from operations</t>
        </r>
      </text>
    </comment>
    <comment ref="E43" authorId="0" shapeId="0" xr:uid="{4CBE4FA5-6413-4FF7-8E3C-953075FD696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Op margin 40.9%</t>
        </r>
      </text>
    </comment>
    <comment ref="F43" authorId="0" shapeId="0" xr:uid="{3AE9A92E-7098-41A1-8C56-F51C5AB4B1A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Op margin 49.5%</t>
        </r>
      </text>
    </comment>
    <comment ref="G43" authorId="0" shapeId="0" xr:uid="{129C971B-1978-470E-8147-5D850073204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Op margin 42.6%</t>
        </r>
      </text>
    </comment>
    <comment ref="H43" authorId="0" shapeId="0" xr:uid="{36F4E799-785B-482D-AA9A-5176DB0E673E}">
      <text>
        <r>
          <rPr>
            <b/>
            <sz val="9"/>
            <color indexed="81"/>
            <rFont val="Tahoma"/>
            <charset val="1"/>
          </rPr>
          <t>OpM 50.8% × Rev</t>
        </r>
      </text>
    </comment>
    <comment ref="U43" authorId="0" shapeId="0" xr:uid="{0862F802-31E0-4218-AFA8-1F308E39392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FY24 Non-GAAP op income</t>
        </r>
      </text>
    </comment>
    <comment ref="V43" authorId="0" shapeId="0" xr:uid="{409148DB-A63C-41B5-A173-5E486744DF6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W43" authorId="0" shapeId="0" xr:uid="{E0DB8F09-046D-4F74-BD33-640330E1459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 — the inflection year</t>
        </r>
      </text>
    </comment>
    <comment ref="X43" authorId="0" shapeId="0" xr:uid="{7FDE205B-D1FF-4B3A-9613-C6799D2A664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Y43" authorId="0" shapeId="0" xr:uid="{14000ED2-5F6C-4CE5-B6DC-B3E659D8F42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FY23</t>
        </r>
      </text>
    </comment>
    <comment ref="Z43" authorId="0" shapeId="0" xr:uid="{39AB2321-AA5F-48B5-BBFD-592CD0B7770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D44" authorId="0" shapeId="0" xr:uid="{1401C9D0-45A1-45A7-97E0-FC286FBEAF11}">
      <text>
        <r>
          <rPr>
            <b/>
            <sz val="9"/>
            <color indexed="81"/>
            <rFont val="Tahoma"/>
            <charset val="1"/>
          </rPr>
          <t>D&amp;A approx — from 20-F</t>
        </r>
      </text>
    </comment>
    <comment ref="H44" authorId="0" shapeId="0" xr:uid="{EE6C50A2-3FDA-40E0-9E51-E70E85516472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Approximated</t>
        </r>
      </text>
    </comment>
    <comment ref="U44" authorId="0" shapeId="0" xr:uid="{2CA14249-2BEB-429C-BA80-2C32B4051DE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FY25 Non-GAAP op income</t>
        </r>
      </text>
    </comment>
    <comment ref="V44" authorId="0" shapeId="0" xr:uid="{330C6CE1-9540-4D9B-A6B4-FEA216878EA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</t>
        </r>
      </text>
    </comment>
    <comment ref="W44" authorId="0" shapeId="0" xr:uid="{46B58804-6BCB-446C-B113-96485052382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X44" authorId="0" shapeId="0" xr:uid="{2EA63BA0-C114-4184-80DD-CFC127EC857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Y44" authorId="0" shapeId="0" xr:uid="{89AEF2ED-2C3E-47BE-86BB-BC05CD9327B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FY24</t>
        </r>
      </text>
    </comment>
    <comment ref="Z44" authorId="0" shapeId="0" xr:uid="{6DB330C4-E7E3-4E79-A071-6C3865C3215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</t>
        </r>
      </text>
    </comment>
    <comment ref="U45" authorId="0" shapeId="0" xr:uid="{5972FC5C-A797-4D82-941D-B5B01DB5097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NVDA FY26 press release. Note: FY27 NVDA will INCLUDE SBC in non-GAAP, eliminating this gap.</t>
        </r>
      </text>
    </comment>
    <comment ref="V45" authorId="0" shapeId="0" xr:uid="{D3A2692E-AFAA-4023-AC63-F925184DE09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 2025 AR — NT$1,935B op income / 31 FX. Note: TSM doesn't really need non-GAAP — nearly identical to GAAP due to minimal SBC</t>
        </r>
      </text>
    </comment>
    <comment ref="W45" authorId="0" shapeId="0" xr:uid="{FAB3A5A2-42DE-4109-AE17-72934EA74A8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FY25 10-K — Adjusted op income; VRT FY25 op margin ~23%</t>
        </r>
      </text>
    </comment>
    <comment ref="X45" authorId="0" shapeId="0" xr:uid="{8B3EF1A5-6C55-4FA0-9C6B-53EFD4AA5BF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FY25 — Sum of 4 quarterly non-GAAP op incomes — ~11.4% non-GAAP op margin</t>
        </r>
      </text>
    </comment>
    <comment ref="Y45" authorId="0" shapeId="0" xr:uid="{9E74D2EF-D3BD-4E28-B609-8492185F9DE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FY25 — Non-GAAP op income $1.80B, 40.2% margin. Hit Rule of 40 several times over.</t>
        </r>
      </text>
    </comment>
    <comment ref="Z45" authorId="0" shapeId="0" xr:uid="{835AC455-D96A-450D-8065-275D87BA603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FY26 — Sum of quarterly non-GAAP op income (Q1-Q4 FY26). Q4 alone was $158.8M.</t>
        </r>
      </text>
    </comment>
    <comment ref="D46" authorId="0" shapeId="0" xr:uid="{350F0EFD-184A-465B-831A-8444AE460EF4}">
      <text>
        <r>
          <rPr>
            <b/>
            <sz val="9"/>
            <color indexed="81"/>
            <rFont val="Tahoma"/>
            <charset val="1"/>
          </rPr>
          <t>Source: TSMC 2020 AR</t>
        </r>
      </text>
    </comment>
    <comment ref="E46" authorId="0" shapeId="0" xr:uid="{DCACA1C2-AD9C-4BF3-B00C-89037DC7394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TSMC 2022 AR</t>
        </r>
      </text>
    </comment>
    <comment ref="F46" authorId="0" shapeId="0" xr:uid="{55FD5999-5138-4954-994B-1469082612A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TSMC 2022 AR</t>
        </r>
      </text>
    </comment>
    <comment ref="G46" authorId="0" shapeId="0" xr:uid="{D36C98BA-B68D-40D9-BA4D-7529FA7B8F8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TSMC 2023 AR</t>
        </r>
      </text>
    </comment>
    <comment ref="H46" authorId="0" shapeId="0" xr:uid="{8D374E95-34CF-4505-BDAD-2407E599C6AC}">
      <text>
        <r>
          <rPr>
            <b/>
            <sz val="9"/>
            <color indexed="81"/>
            <rFont val="Tahoma"/>
            <charset val="1"/>
          </rPr>
          <t>Source: TSMC 2025 AR</t>
        </r>
      </text>
    </comment>
    <comment ref="D47" authorId="0" shapeId="0" xr:uid="{6A054D88-FF6B-4E8B-AD02-D543FFF1BB93}">
      <text>
        <r>
          <rPr>
            <b/>
            <sz val="9"/>
            <color indexed="81"/>
            <rFont val="Tahoma"/>
            <charset val="1"/>
          </rPr>
          <t>Diluted EPS per ADR USD (NT$23.01 × 5 ADR ratio / ~28 FX)</t>
        </r>
      </text>
    </comment>
    <comment ref="E47" authorId="0" shapeId="0" xr:uid="{7CB7E904-18FF-4249-AEEB-F8F6069597C7}">
      <text>
        <r>
          <rPr>
            <b/>
            <sz val="9"/>
            <color indexed="81"/>
            <rFont val="Tahoma"/>
            <charset val="1"/>
          </rPr>
          <t>NT$39.20 × 5 / ~29.8 FX</t>
        </r>
      </text>
    </comment>
    <comment ref="F47" authorId="0" shapeId="0" xr:uid="{EB0A708B-2D7E-42BD-B430-2CF7742E5F36}">
      <text>
        <r>
          <rPr>
            <b/>
            <sz val="9"/>
            <color indexed="81"/>
            <rFont val="Tahoma"/>
            <charset val="1"/>
          </rPr>
          <t>NT$32.34 × 5 / ~31 FX</t>
        </r>
      </text>
    </comment>
    <comment ref="G47" authorId="0" shapeId="0" xr:uid="{42F391D6-6311-4F35-BD9D-592386E6D01C}">
      <text>
        <r>
          <rPr>
            <b/>
            <sz val="9"/>
            <color indexed="81"/>
            <rFont val="Tahoma"/>
            <charset val="1"/>
          </rPr>
          <t>NT$45.25 × 5 / ~32 FX</t>
        </r>
      </text>
    </comment>
    <comment ref="H47" authorId="0" shapeId="0" xr:uid="{01DAD9EE-2E18-4FA7-BC80-200A2B4F3FB5}">
      <text>
        <r>
          <rPr>
            <b/>
            <sz val="9"/>
            <color indexed="81"/>
            <rFont val="Tahoma"/>
            <charset val="1"/>
          </rPr>
          <t>NT$66.26 × 5 / ~31 FX</t>
        </r>
      </text>
    </comment>
    <comment ref="D50" authorId="0" shapeId="0" xr:uid="{8C62BBEE-B714-45DF-8518-93982A3CA6E0}">
      <text>
        <r>
          <rPr>
            <b/>
            <sz val="9"/>
            <color indexed="81"/>
            <rFont val="Tahoma"/>
            <charset val="1"/>
          </rPr>
          <t>CFO approx</t>
        </r>
      </text>
    </comment>
    <comment ref="E50" authorId="0" shapeId="0" xr:uid="{BCD6D3E6-1FB1-4F2C-8E53-22D21C85646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2021 CFO ~NT$1,127B / 28 = $40B</t>
        </r>
      </text>
    </comment>
    <comment ref="F50" authorId="0" shapeId="0" xr:uid="{E79C1F1F-2DF6-4F4A-9CF7-909172E9BF4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2022 CFO ~NT$1,610B / 30 = $54B</t>
        </r>
      </text>
    </comment>
    <comment ref="G50" authorId="0" shapeId="0" xr:uid="{03B84F83-498B-4896-A7CB-32986ADF2040}">
      <text>
        <r>
          <rPr>
            <b/>
            <sz val="9"/>
            <color indexed="81"/>
            <rFont val="Tahoma"/>
            <charset val="1"/>
          </rPr>
          <t>FY24 CFO from 20-F</t>
        </r>
      </text>
    </comment>
    <comment ref="H50" authorId="0" shapeId="0" xr:uid="{ABE70F2C-1ACE-42C1-A065-09B669CDE22B}">
      <text>
        <r>
          <rPr>
            <b/>
            <sz val="9"/>
            <color indexed="81"/>
            <rFont val="Tahoma"/>
            <charset val="1"/>
          </rPr>
          <t>FY25 CFO approx; record FCF generation</t>
        </r>
      </text>
    </comment>
    <comment ref="D51" authorId="0" shapeId="0" xr:uid="{069A3CCF-4A39-40A1-8E4B-104D2076361C}">
      <text>
        <r>
          <rPr>
            <b/>
            <sz val="9"/>
            <color indexed="81"/>
            <rFont val="Tahoma"/>
            <charset val="1"/>
          </rPr>
          <t>Capex</t>
        </r>
      </text>
    </comment>
    <comment ref="E51" authorId="0" shapeId="0" xr:uid="{333357F6-05EF-4F29-A27D-7D1081B1058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2021 capex US$30B</t>
        </r>
      </text>
    </comment>
    <comment ref="F51" authorId="0" shapeId="0" xr:uid="{61F82EA7-64BE-4B7B-8A0D-7CCB81D8E8E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2022 capex US$36.3B</t>
        </r>
      </text>
    </comment>
    <comment ref="G51" authorId="0" shapeId="0" xr:uid="{57EA77BB-58A0-4D61-9FBA-C917F34206D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TSM 2023 capex US$30.5B</t>
        </r>
      </text>
    </comment>
    <comment ref="H51" authorId="0" shapeId="0" xr:uid="{6C7B9A61-7B38-4809-AC4C-76F6BE5C8DC3}">
      <text>
        <r>
          <rPr>
            <b/>
            <sz val="9"/>
            <color indexed="81"/>
            <rFont val="Tahoma"/>
            <charset val="1"/>
          </rPr>
          <t>FY25 capex per TSM CFO commentary</t>
        </r>
      </text>
    </comment>
    <comment ref="U54" authorId="0" shapeId="0" xr:uid="{4FEE54C9-E646-43EE-B5AF-59E6810B611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FY26 segment. Source: NVDA Q4 FY26 CFO Commentary</t>
        </r>
      </text>
    </comment>
    <comment ref="V54" authorId="0" shapeId="0" xr:uid="{39FF6F4D-EF8E-4C5E-9D2B-D8E011CF2A9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 platform mix — Source: TSM 2025 AR</t>
        </r>
      </text>
    </comment>
    <comment ref="W54" authorId="0" shapeId="0" xr:uid="{488BA18B-4453-4EA3-972F-7460AB208A9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 segment: 73% of revenue. Source: VRT FY25 10-K</t>
        </r>
      </text>
    </comment>
    <comment ref="X54" authorId="0" shapeId="0" xr:uid="{1B8394EC-1590-4CD0-8FDE-A7530667E67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Includes CDN, security, Workers. FY25 split estimate from segment commentary.</t>
        </r>
      </text>
    </comment>
    <comment ref="Y54" authorId="0" shapeId="0" xr:uid="{10FDCB84-4344-4E81-A1D9-C0FE9ABA242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FY25 segment: ~$1.0B and growing fastest</t>
        </r>
      </text>
    </comment>
    <comment ref="Z54" authorId="0" shapeId="0" xr:uid="{9FBDF91D-B490-4CDD-AC9F-5463214D812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FY26 segment: 72% of revenue, $2B+ annual run rate</t>
        </r>
      </text>
    </comment>
    <comment ref="D55" authorId="0" shapeId="0" xr:uid="{F66663BB-BF46-4AAB-ABA6-B0B9F39178E5}">
      <text>
        <r>
          <rPr>
            <b/>
            <sz val="9"/>
            <color indexed="81"/>
            <rFont val="Tahoma"/>
            <charset val="1"/>
          </rPr>
          <t>Cash &amp; equivalents approx</t>
        </r>
      </text>
    </comment>
    <comment ref="E55" authorId="0" shapeId="0" xr:uid="{BA3486A6-AAC1-44D0-9165-3F890498169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End-2021 approx $40B</t>
        </r>
      </text>
    </comment>
    <comment ref="F55" authorId="0" shapeId="0" xr:uid="{7F6799FB-41A6-4EB0-9490-A41929F66DD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End-2022 approx $45B</t>
        </r>
      </text>
    </comment>
    <comment ref="G55" authorId="0" shapeId="0" xr:uid="{8E1F0108-A049-4FE8-A100-A3EA32A989D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End-2023 approx $47B</t>
        </r>
      </text>
    </comment>
    <comment ref="H55" authorId="0" shapeId="0" xr:uid="{57B56AED-6D25-4DF1-8C02-414F5AA858A4}">
      <text>
        <r>
          <rPr>
            <b/>
            <sz val="9"/>
            <color indexed="81"/>
            <rFont val="Tahoma"/>
            <charset val="1"/>
          </rPr>
          <t>FY25 approx; rises with FCF</t>
        </r>
      </text>
    </comment>
    <comment ref="W55" authorId="0" shapeId="0" xr:uid="{F0071ADF-DE5F-49E0-BA76-4AC7A1804C5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~23%</t>
        </r>
      </text>
    </comment>
    <comment ref="X55" authorId="0" shapeId="0" xr:uid="{39A35EDC-9F09-4A79-912F-F877BD02D10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Zero Trust, Magic Transit</t>
        </r>
      </text>
    </comment>
    <comment ref="D56" authorId="0" shapeId="0" xr:uid="{C925F56F-9FF0-4E04-BA56-BF76AF04CDC5}">
      <text>
        <r>
          <rPr>
            <b/>
            <sz val="9"/>
            <color indexed="81"/>
            <rFont val="Tahoma"/>
            <charset val="1"/>
          </rPr>
          <t>Total debt approx (LT + ST)</t>
        </r>
      </text>
    </comment>
    <comment ref="H56" authorId="0" shapeId="0" xr:uid="{1E2B6A14-10EE-4295-8253-65B4C37281BC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FY25 approx</t>
        </r>
      </text>
    </comment>
    <comment ref="W56" authorId="0" shapeId="0" xr:uid="{B553F6F8-186C-4494-BCCD-AECCE2A9AED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~4%</t>
        </r>
      </text>
    </comment>
    <comment ref="D57" authorId="0" shapeId="0" xr:uid="{975C626E-BA5C-4A9F-B5D9-9B0CEC4EAB83}">
      <text>
        <r>
          <rPr>
            <b/>
            <sz val="9"/>
            <color indexed="81"/>
            <rFont val="Tahoma"/>
            <charset val="1"/>
          </rPr>
          <t>Diluted shares in ADR equivalent (ordinary/5 = 25,930M/5)</t>
        </r>
      </text>
    </comment>
    <comment ref="D58" authorId="0" shapeId="0" xr:uid="{5B2B02D3-5D7A-4D2D-A273-FB76BCA4362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Current portion + long-term debt</t>
        </r>
      </text>
    </comment>
    <comment ref="U58" authorId="0" shapeId="0" xr:uid="{85510790-08E3-4797-9CBB-28FD6109264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Data Center $193.74B / $215.94B = 89.7%</t>
        </r>
      </text>
    </comment>
    <comment ref="V58" authorId="0" shapeId="0" xr:uid="{A7E9D6F4-4858-4B97-821C-71391F61CA4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HPC 51% of FY25 wafer revenue — grew from 43% in FY24, the AI-driven mix shift</t>
        </r>
      </text>
    </comment>
    <comment ref="W58" authorId="0" shapeId="0" xr:uid="{02BCC44A-8078-4740-B889-3106DFA97EE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CIS = power &amp; thermal management = the AI data center capex play</t>
        </r>
      </text>
    </comment>
    <comment ref="X58" authorId="0" shapeId="0" xr:uid="{533DDB01-FAA3-4A15-9BA0-D85E83D7181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Application Services majority — NET doesn't fully break out, estimate from CFO commentary</t>
        </r>
      </text>
    </comment>
    <comment ref="Y58" authorId="0" shapeId="0" xr:uid="{8D8D5192-C079-4297-8D8B-1986A17CF30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US Commercial + US Gov = ~44% / 44% / 7% / 5%. FY25 Q1 2026: U.S. rev $1.28B = 79% of total Q rev. Source: PLTR Q1 2026 earnings.</t>
        </r>
      </text>
    </comment>
    <comment ref="Z58" authorId="0" shapeId="0" xr:uid="{DC67D469-744F-46BC-9B18-77F3373DCA3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Q4 FY26 — Atlas 72% of revenue, grew 29% YoY</t>
        </r>
      </text>
    </comment>
    <comment ref="D59" authorId="0" shapeId="0" xr:uid="{0BE66875-A7CB-4801-9BFD-D71EE5C1070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Weighted avg diluted shares, millions</t>
        </r>
      </text>
    </comment>
    <comment ref="H60" authorId="0" shapeId="0" xr:uid="{C35683D7-0D72-483A-BA23-3BCA8470F30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Placeholder TSM ADR price. Update with current. ~$400 May 2026</t>
        </r>
      </text>
    </comment>
    <comment ref="U61" authorId="0" shapeId="0" xr:uid="{DDA92E6F-03A5-4C09-8726-B4390637D15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reports product revenue, not SaaS metrics</t>
        </r>
      </text>
    </comment>
    <comment ref="V61" authorId="0" shapeId="0" xr:uid="{9CFF0728-CB0F-4ECA-9EA0-4818D185D1A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Foundry model — not SaaS</t>
        </r>
      </text>
    </comment>
    <comment ref="W61" authorId="0" shapeId="0" xr:uid="{D8B9AB0F-9E74-40B6-B63F-1013C3E2111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Hardware + services, not SaaS recurring</t>
        </r>
      </text>
    </comment>
    <comment ref="X61" authorId="0" shapeId="0" xr:uid="{116FCD8B-F554-4619-A2C6-19B09E1089D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Q1 2026 — dollar-based NRR 112%</t>
        </r>
      </text>
    </comment>
    <comment ref="Y61" authorId="0" shapeId="0" xr:uid="{400721AD-15FA-4C86-98C3-965FDAFF06B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Q1 2026 — Net dollar retention 124%</t>
        </r>
      </text>
    </comment>
    <comment ref="Z61" authorId="0" shapeId="0" xr:uid="{EF0F7144-3833-45CD-942B-FB9BB1EB3C27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Q4 FY26 — Net ARR expansion rate 121%</t>
        </r>
      </text>
    </comment>
    <comment ref="X62" authorId="0" shapeId="0" xr:uid="{3A5B1C9A-39CE-4EEC-8E1C-D0C4C1D850F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Q1 2026 — &gt;$100K customers 4,400+, 72% of revenue. Up 25% YoY.</t>
        </r>
      </text>
    </comment>
    <comment ref="Y62" authorId="0" shapeId="0" xr:uid="{DFB4825B-67D7-4C03-988C-8E87E0530FA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Q1 2026 — 1,007 commercial customers (TTM)</t>
        </r>
      </text>
    </comment>
    <comment ref="Z62" authorId="0" shapeId="0" xr:uid="{CB392C23-9FB8-43BF-B669-43123411C1D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Q4 FY26 — 2,799 customers with &gt;$100K ARR, up 17% YoY</t>
        </r>
      </text>
    </comment>
    <comment ref="V63" authorId="0" shapeId="0" xr:uid="{94EC0A59-68E5-439F-A022-7EA55E0A999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534 customers in FY25 — from TSM 2025 AR</t>
        </r>
      </text>
    </comment>
    <comment ref="X63" authorId="0" shapeId="0" xr:uid="{724D6F06-2DF5-4080-AF23-8CE0751B31D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NET total paying customers ~250K. The largest 4,400 drive most revenue.</t>
        </r>
      </text>
    </comment>
    <comment ref="Y63" authorId="0" shapeId="0" xr:uid="{ED26FB26-DB0F-43D8-90FE-F82EAC80D55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Commercial customers; gov't is contract-based not customer-counted</t>
        </r>
      </text>
    </comment>
    <comment ref="Z63" authorId="0" shapeId="0" xr:uid="{90390B1D-D2F5-4E0A-815F-0DF2EF1066B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MDB total customers &gt;65,200. Added 2,700 in Q4 alone.</t>
        </r>
      </text>
    </comment>
    <comment ref="W64" authorId="0" shapeId="0" xr:uid="{DA350C4C-C3A2-4D0F-8EDF-7CFBDC142D8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VRT backlog FY25 ~$7.5B — indicator of forward demand</t>
        </r>
      </text>
    </comment>
    <comment ref="X64" authorId="0" shapeId="0" xr:uid="{811E5939-85E5-46F6-98EF-A2FF5D71A69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Q1 2026 — RPO $2.543B, +36% YoY</t>
        </r>
      </text>
    </comment>
    <comment ref="Y64" authorId="0" shapeId="0" xr:uid="{FD9AF5FD-DE58-436F-814C-4A2A4388666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Q1 2026 — RPO $4.5B, 39% recognized in next 12 months</t>
        </r>
      </text>
    </comment>
    <comment ref="Z64" authorId="0" shapeId="0" xr:uid="{60602CE1-171C-427E-8B0C-9680F53E168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MDB est. RPO; not always broken out</t>
        </r>
      </text>
    </comment>
    <comment ref="U65" authorId="0" shapeId="0" xr:uid="{381104AC-6FD8-4867-A2AD-138A96B30C6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Rule of 40 = Rev growth + Non-GAAP op margin</t>
        </r>
      </text>
    </comment>
    <comment ref="D68" authorId="0" shapeId="0" xr:uid="{562432CB-34CB-46F8-B984-0FCF2612F308}">
      <text>
        <r>
          <rPr>
            <b/>
            <sz val="9"/>
            <color indexed="81"/>
            <rFont val="Tahoma"/>
            <charset val="1"/>
          </rPr>
          <t>Source: VRT FY2022 10-K</t>
        </r>
      </text>
    </comment>
    <comment ref="F68" authorId="0" shapeId="0" xr:uid="{2C5C3999-5093-4D8A-B7F0-8A135689B653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Source: VRT FY2024 10-K</t>
        </r>
      </text>
    </comment>
    <comment ref="G68" authorId="0" shapeId="0" xr:uid="{FAAFCB7B-2A64-4DF2-9D70-63083B434F39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VRT FY2024 10-K, https://www.sec.gov/Archives/edgar/data/0001674101/000162828025005905/vrt-20241231.htm</t>
        </r>
      </text>
    </comment>
    <comment ref="H68" authorId="0" shapeId="0" xr:uid="{AAA3EE5D-DB15-4FF5-AEEA-A321B370E1B1}">
      <text>
        <r>
          <rPr>
            <b/>
            <sz val="9"/>
            <color indexed="81"/>
            <rFont val="Tahoma"/>
            <family val="2"/>
          </rPr>
          <t>Source: VRT FY2025 10-K, https://www.sec.gov/Archives/edgar/data/1674101/000167410126000008/vrt-20251231.htm</t>
        </r>
      </text>
    </comment>
    <comment ref="D71" authorId="0" shapeId="0" xr:uid="{EA220D7B-11EC-449C-96F6-06CEE117E93B}">
      <text>
        <r>
          <rPr>
            <b/>
            <sz val="9"/>
            <color indexed="81"/>
            <rFont val="Tahoma"/>
            <charset val="1"/>
          </rPr>
          <t>Operating expenses (SG&amp;A + Amort + Restructuring + Other)</t>
        </r>
      </text>
    </comment>
    <comment ref="H71" authorId="0" shapeId="0" xr:uid="{DBFBA3FC-9F1E-4628-B299-9CBB8D37F9AD}">
      <text>
        <r>
          <rPr>
            <b/>
            <sz val="9"/>
            <color indexed="81"/>
            <rFont val="Tahoma"/>
            <family val="2"/>
          </rPr>
          <t>= GP - OpInc = 3715.2 - 1829.7</t>
        </r>
      </text>
    </comment>
    <comment ref="D72" authorId="0" shapeId="0" xr:uid="{AD66AADB-2E64-43F0-A89B-B180B58595A8}">
      <text>
        <r>
          <rPr>
            <b/>
            <sz val="9"/>
            <color indexed="81"/>
            <rFont val="Tahoma"/>
            <charset val="1"/>
          </rPr>
          <t>Operating profit</t>
        </r>
      </text>
    </comment>
    <comment ref="D73" authorId="0" shapeId="0" xr:uid="{804307CD-5D67-457D-8321-1FBFD3A429E6}">
      <text>
        <r>
          <rPr>
            <b/>
            <sz val="9"/>
            <color indexed="81"/>
            <rFont val="Tahoma"/>
            <charset val="1"/>
          </rPr>
          <t>D&amp;A (Depreciation + Amortization)</t>
        </r>
      </text>
    </comment>
    <comment ref="D75" authorId="0" shapeId="0" xr:uid="{6005D6FC-16AE-4263-B87D-E50E87CA055E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Net income</t>
        </r>
      </text>
    </comment>
    <comment ref="D76" authorId="0" shapeId="0" xr:uid="{50F291B3-9104-4615-940E-31990E581AD5}">
      <text>
        <r>
          <rPr>
            <b/>
            <sz val="9"/>
            <color indexed="81"/>
            <rFont val="Tahoma"/>
            <charset val="1"/>
          </rPr>
          <t>Diluted EPS</t>
        </r>
      </text>
    </comment>
    <comment ref="D79" authorId="0" shapeId="0" xr:uid="{0D5AD47B-E45E-4A54-8FA2-C070EB70084B}">
      <text>
        <r>
          <rPr>
            <b/>
            <sz val="9"/>
            <color indexed="81"/>
            <rFont val="Tahoma"/>
            <charset val="1"/>
          </rPr>
          <t>CFO</t>
        </r>
      </text>
    </comment>
    <comment ref="D80" authorId="0" shapeId="0" xr:uid="{36D534D0-9B0A-43B1-8112-B6C5DC95E0C4}">
      <text>
        <r>
          <rPr>
            <b/>
            <sz val="9"/>
            <color indexed="81"/>
            <rFont val="Tahoma"/>
            <charset val="1"/>
          </rPr>
          <t>Capex</t>
        </r>
      </text>
    </comment>
    <comment ref="D84" authorId="0" shapeId="0" xr:uid="{D5645BC4-EF5F-414E-BEB0-458B46B7B222}">
      <text>
        <r>
          <rPr>
            <b/>
            <sz val="9"/>
            <color indexed="81"/>
            <rFont val="Tahoma"/>
            <charset val="1"/>
          </rPr>
          <t>Cash &amp; equivalents</t>
        </r>
      </text>
    </comment>
    <comment ref="D85" authorId="0" shapeId="0" xr:uid="{4484F172-7900-4FE6-B856-076F5A4111C8}">
      <text>
        <r>
          <rPr>
            <b/>
            <sz val="9"/>
            <color indexed="81"/>
            <rFont val="Tahoma"/>
            <charset val="1"/>
          </rPr>
          <t>Total debt</t>
        </r>
      </text>
    </comment>
    <comment ref="D86" authorId="0" shapeId="0" xr:uid="{732EFBB1-BD40-4752-B0E4-3EFD0E26B363}">
      <text>
        <r>
          <rPr>
            <b/>
            <sz val="9"/>
            <color indexed="81"/>
            <rFont val="Tahoma"/>
            <charset val="1"/>
          </rPr>
          <t>Diluted weighted-avg shares (millions)</t>
        </r>
      </text>
    </comment>
    <comment ref="H89" authorId="0" shapeId="0" xr:uid="{E7450053-F302-4A58-A387-1CED37D9EA50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Placeholder VRT price. Update with current. ~$130 May 2026</t>
        </r>
      </text>
    </comment>
    <comment ref="D97" authorId="0" shapeId="0" xr:uid="{A53AED36-71DB-446E-9E0D-22E7C1B79C0C}">
      <text>
        <r>
          <rPr>
            <b/>
            <sz val="9"/>
            <color indexed="81"/>
            <rFont val="Tahoma"/>
            <charset val="1"/>
          </rPr>
          <t>Source: NET FY2022 10-K</t>
        </r>
      </text>
    </comment>
    <comment ref="F97" authorId="0" shapeId="0" xr:uid="{E8E81567-9506-4958-BF04-253D930D92D6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Source: NET FY2024 10-K</t>
        </r>
      </text>
    </comment>
    <comment ref="G97" authorId="0" shapeId="0" xr:uid="{0345A4FC-906B-4AD5-8B3E-EEC5AC333EC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NET FY2024 10-K, https://www.sec.gov/Archives/edgar/data/1477333/000147733325000043/cloud-20241231.htm</t>
        </r>
      </text>
    </comment>
    <comment ref="H97" authorId="0" shapeId="0" xr:uid="{EA40E886-F702-45B0-8803-DDB26630BE56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Source: NET FY2025 10-K, https://www.sec.gov/Archives/edgar/data/0001477333/000147733326000016/cloud-20251231.htm</t>
        </r>
      </text>
    </comment>
    <comment ref="D100" authorId="0" shapeId="0" xr:uid="{EE9FC39A-C524-4C36-A798-B05C2569B321}">
      <text>
        <r>
          <rPr>
            <b/>
            <sz val="9"/>
            <color indexed="81"/>
            <rFont val="Tahoma"/>
            <charset val="1"/>
          </rPr>
          <t>Total operating expenses</t>
        </r>
      </text>
    </comment>
    <comment ref="D102" authorId="0" shapeId="0" xr:uid="{E5947E30-13E3-4A4D-BA13-F9F6D304B630}">
      <text>
        <r>
          <rPr>
            <b/>
            <sz val="9"/>
            <color indexed="81"/>
            <rFont val="Tahoma"/>
            <charset val="1"/>
          </rPr>
          <t>D&amp;A from cash flow</t>
        </r>
      </text>
    </comment>
    <comment ref="D108" authorId="0" shapeId="0" xr:uid="{9D3D5780-6036-4BC4-B23D-9BB16D7E40B2}">
      <text>
        <r>
          <rPr>
            <b/>
            <sz val="9"/>
            <color indexed="81"/>
            <rFont val="Tahoma"/>
            <charset val="1"/>
          </rPr>
          <t>CFO</t>
        </r>
      </text>
    </comment>
    <comment ref="D113" authorId="0" shapeId="0" xr:uid="{F8DA70F0-1718-45A2-90BA-AB1E018049A8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Cash &amp; equivalents</t>
        </r>
      </text>
    </comment>
    <comment ref="F113" authorId="0" shapeId="0" xr:uid="{79FE1312-1FA4-406C-8432-3627BF58A14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Cash &amp; equivalents</t>
        </r>
      </text>
    </comment>
    <comment ref="D114" authorId="0" shapeId="0" xr:uid="{1C6B00EA-E133-4642-A08B-A9E85D729B05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Convertible senior notes, net</t>
        </r>
      </text>
    </comment>
    <comment ref="F114" authorId="0" shapeId="0" xr:uid="{040B276A-6AD6-42C8-9910-3C40C47D884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Convertible senior notes, net</t>
        </r>
      </text>
    </comment>
    <comment ref="D115" authorId="0" shapeId="0" xr:uid="{304B9AEA-0710-4C4B-B178-A47FE551D77A}">
      <text>
        <r>
          <rPr>
            <b/>
            <sz val="9"/>
            <color indexed="81"/>
            <rFont val="Tahoma"/>
            <charset val="1"/>
          </rPr>
          <t>Weighted-avg diluted shares (basic=diluted for loss companies)</t>
        </r>
      </text>
    </comment>
    <comment ref="H118" authorId="0" shapeId="0" xr:uid="{0D388F51-EC1D-489C-902A-EFF8DF8F119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Placeholder NET price. Update with current. ~$195 May 2026</t>
        </r>
      </text>
    </comment>
    <comment ref="D126" authorId="0" shapeId="0" xr:uid="{9789C0A8-C9BA-4920-8A05-4E394DBE4EB0}">
      <text>
        <r>
          <rPr>
            <b/>
            <sz val="9"/>
            <color indexed="81"/>
            <rFont val="Tahoma"/>
            <charset val="1"/>
          </rPr>
          <t>Source: PLTR FY2022 10-K, https://www.sec.gov/Archives/edgar/data/1321655/000132165523000011/pltr-20221231.htm</t>
        </r>
      </text>
    </comment>
    <comment ref="F126" authorId="0" shapeId="0" xr:uid="{26B6873D-9432-4A43-8D86-1231FC4DE46B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Source: PLTR FY2024 10-K</t>
        </r>
      </text>
    </comment>
    <comment ref="G126" authorId="0" shapeId="0" xr:uid="{5A65C56C-CA29-46E0-891B-F1F9F41CD7C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PLTR FY2024 10-K, https://www.sec.gov/Archives/edgar/data/0001321655/000132165525000022/pltr-20241231.htm</t>
        </r>
      </text>
    </comment>
    <comment ref="H126" authorId="0" shapeId="0" xr:uid="{24619511-255C-4BF8-94A0-33588E7A7A55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Source: PLTR FY2025 10-K, https://www.sec.gov/Archives/edgar/data/1321655/000132165526000011/pltr-20251231.htm</t>
        </r>
      </text>
    </comment>
    <comment ref="D129" authorId="0" shapeId="0" xr:uid="{C8B5C91C-3E3D-410E-8199-CCDC107C364E}">
      <text>
        <r>
          <rPr>
            <b/>
            <sz val="9"/>
            <color indexed="81"/>
            <rFont val="Tahoma"/>
            <charset val="1"/>
          </rPr>
          <t>Total operating expenses</t>
        </r>
      </text>
    </comment>
    <comment ref="D130" authorId="0" shapeId="0" xr:uid="{EDD2F392-4BB2-4AC7-BE59-80C76AFFF002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Income (loss) from operations</t>
        </r>
      </text>
    </comment>
    <comment ref="D131" authorId="0" shapeId="0" xr:uid="{744FF067-CD0D-4755-94E8-1F8AFA0DB7BC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D&amp;A from cash flow statement</t>
        </r>
      </text>
    </comment>
    <comment ref="D133" authorId="0" shapeId="0" xr:uid="{A815E501-92EF-4FEE-8179-F38E5B2A5BE6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Net income (loss)</t>
        </r>
      </text>
    </comment>
    <comment ref="D134" authorId="0" shapeId="0" xr:uid="{C0066CC4-0488-4F91-8590-F54DF0360478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Diluted EPS</t>
        </r>
      </text>
    </comment>
    <comment ref="D137" authorId="0" shapeId="0" xr:uid="{E57BA6A0-479A-46F2-88E7-F575B211A090}">
      <text>
        <r>
          <rPr>
            <b/>
            <sz val="9"/>
            <color indexed="81"/>
            <rFont val="Tahoma"/>
            <charset val="1"/>
          </rPr>
          <t>CFO</t>
        </r>
      </text>
    </comment>
    <comment ref="D138" authorId="0" shapeId="0" xr:uid="{266906F6-9719-46D8-A994-2D68FA7F4078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Capex</t>
        </r>
      </text>
    </comment>
    <comment ref="D142" authorId="0" shapeId="0" xr:uid="{A4C98058-35B7-48F6-A9C8-544B1A7C2D4D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Cash &amp; equivalents</t>
        </r>
      </text>
    </comment>
    <comment ref="E142" authorId="0" shapeId="0" xr:uid="{7194C0E9-1BE3-4DAA-90AC-ECFB21DB9FC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Cash &amp; equivalents</t>
        </r>
      </text>
    </comment>
    <comment ref="D143" authorId="0" shapeId="0" xr:uid="{5174B6B3-A0A4-4F74-8ADD-C3A43543A6A9}">
      <text>
        <r>
          <rPr>
            <b/>
            <sz val="9"/>
            <color indexed="81"/>
            <rFont val="Tahoma"/>
            <charset val="1"/>
          </rPr>
          <t>PLTR has no long-term debt</t>
        </r>
      </text>
    </comment>
    <comment ref="D144" authorId="0" shapeId="0" xr:uid="{BDD2E7FE-C125-41ED-A005-EC0A382BB0CF}">
      <text>
        <r>
          <rPr>
            <b/>
            <sz val="9"/>
            <color indexed="81"/>
            <rFont val="Tahoma"/>
            <charset val="1"/>
          </rPr>
          <t>Diluted weighted-average shares (millions)</t>
        </r>
      </text>
    </comment>
    <comment ref="H147" authorId="0" shapeId="0" xr:uid="{6CE9E4AF-0121-4D03-A215-3AA868E4FE5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Placeholder PLTR price. Update with current. ~$145 May 2026</t>
        </r>
      </text>
    </comment>
    <comment ref="D155" authorId="0" shapeId="0" xr:uid="{E755521E-1603-4B6E-A258-19770A2C1DB4}">
      <text>
        <r>
          <rPr>
            <b/>
            <sz val="9"/>
            <color indexed="81"/>
            <rFont val="Tahoma"/>
            <charset val="1"/>
          </rPr>
          <t>Source: MDB FY2023 10-K, https://www.sec.gov/Archives/edgar/data/0001441816/000144181623000027/mdb-20230131.htm</t>
        </r>
      </text>
    </comment>
    <comment ref="F155" authorId="0" shapeId="0" xr:uid="{2B90BAA8-2185-4F29-8502-83F08FB5754A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Source: MDB FY2025 10-K</t>
        </r>
      </text>
    </comment>
    <comment ref="G155" authorId="0" shapeId="0" xr:uid="{33CE3AA0-8D4F-4A66-AD15-197E3FC752F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Source: MDB FY2025 10-K, https://www.sec.gov/Archives/edgar/data/0001441816/000144181625000057/mdb-20250131.htm</t>
        </r>
      </text>
    </comment>
    <comment ref="H155" authorId="0" shapeId="0" xr:uid="{4EE62D0C-0491-4EB8-8A46-06CD2B4FC012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Source: MDB FY2026 press release, https://investors.mongodb.com/news-releases/news-release-details/mongodb-inc-announces-fourth-quarter-fiscal-2026-financial</t>
        </r>
      </text>
    </comment>
    <comment ref="H156" authorId="0" shapeId="0" xr:uid="{2E2D7856-5333-473D-AC67-7576F66C4CB8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Est: Total Rev - GP at ~72% GM</t>
        </r>
      </text>
    </comment>
    <comment ref="D158" authorId="0" shapeId="0" xr:uid="{3E15B736-DA0E-4214-9968-6C116C0E905B}">
      <text>
        <r>
          <rPr>
            <b/>
            <sz val="9"/>
            <color indexed="81"/>
            <rFont val="Tahoma"/>
            <charset val="1"/>
          </rPr>
          <t>Total operating expenses</t>
        </r>
      </text>
    </comment>
    <comment ref="H158" authorId="0" shapeId="0" xr:uid="{92C1D1D5-D57E-468F-B821-B052372859DD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Est: GP - OpInc = 1770 - (-137) = 1907</t>
        </r>
      </text>
    </comment>
    <comment ref="D159" authorId="0" shapeId="0" xr:uid="{EDB98728-2369-405B-B28B-C117982527CE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Loss from operations</t>
        </r>
      </text>
    </comment>
    <comment ref="H159" authorId="0" shapeId="0" xr:uid="{131CC2C7-0439-4295-8DF5-BA4456AB9ED4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Est: Sum of FY26 quarterly op losses (Q1 -53.6, Q2 -65.3, Q3 -18.4, Q4 +0.3)</t>
        </r>
      </text>
    </comment>
    <comment ref="H160" authorId="0" shapeId="0" xr:uid="{3C64F505-957D-42A4-B51C-D6F2C5FFE1CA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</t>
        </r>
      </text>
    </comment>
    <comment ref="H162" authorId="0" shapeId="0" xr:uid="{DB6B693C-7339-43AC-B0F6-AA66AE39D1BF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Est: Q4 NI +15.5M offset by losses in Q1-Q3</t>
        </r>
      </text>
    </comment>
    <comment ref="H163" authorId="0" shapeId="0" xr:uid="{723B843A-2074-4C55-B833-CD27E0AE5991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Est: -$45M / 86.5M diluted shares</t>
        </r>
      </text>
    </comment>
    <comment ref="D166" authorId="0" shapeId="0" xr:uid="{CE54DE98-EB11-43B8-B1EF-272129B00358}">
      <text>
        <r>
          <rPr>
            <b/>
            <sz val="9"/>
            <color indexed="81"/>
            <rFont val="Tahoma"/>
            <charset val="1"/>
          </rPr>
          <t>CFO</t>
        </r>
      </text>
    </comment>
    <comment ref="H166" authorId="0" shapeId="0" xr:uid="{B7428B4E-1691-4A62-AF53-A82575A3916F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Est: Q4 alone was $179.6M CFO; FY likely $350-400M</t>
        </r>
      </text>
    </comment>
    <comment ref="H167" authorId="0" shapeId="0" xr:uid="{FC313FB1-AC61-4F29-AF26-E5F8BF3C1E38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</t>
        </r>
      </text>
    </comment>
    <comment ref="D171" authorId="0" shapeId="0" xr:uid="{A837A477-C573-42C2-B3E6-8C42EB26E7B0}">
      <text>
        <r>
          <rPr>
            <b/>
            <sz val="9"/>
            <color indexed="81"/>
            <rFont val="Tahoma"/>
            <charset val="1"/>
          </rPr>
          <t>Cash &amp; equivalents (not including short-term investments)</t>
        </r>
      </text>
    </comment>
    <comment ref="H171" authorId="0" shapeId="0" xr:uid="{D31FD34A-BAA4-4168-877E-2B97B0148AF7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Est: Cash + equivalents (FY26 total $2.4B includes ST investments)</t>
        </r>
      </text>
    </comment>
    <comment ref="D172" authorId="0" shapeId="0" xr:uid="{567E8B98-5AB3-4008-AA30-9A5C0866D4B2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Convertible senior notes</t>
        </r>
      </text>
    </comment>
    <comment ref="E172" authorId="0" shapeId="0" xr:uid="{AB922E42-0B87-4F6E-8BFF-B18FF7E5332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Convertible senior notes, net</t>
        </r>
      </text>
    </comment>
    <comment ref="G172" authorId="0" shapeId="0" xr:uid="{6D0B8275-0CCF-43E9-9F0C-F6363287BE04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Converted Feb 2025</t>
        </r>
      </text>
    </comment>
    <comment ref="H172" authorId="0" shapeId="0" xr:uid="{DBD5E5FB-538B-4555-835A-F4D62F3B097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Convertible notes settled — converted to equity in FY2025</t>
        </r>
      </text>
    </comment>
    <comment ref="D173" authorId="0" shapeId="0" xr:uid="{85415F3D-56E2-4E62-9B46-70CE8F3EAAD7}">
      <text>
        <r>
          <rPr>
            <b/>
            <sz val="9"/>
            <color indexed="81"/>
            <rFont val="Tahoma"/>
            <charset val="1"/>
          </rPr>
          <t>Diluted weighted-average shares (millions)</t>
        </r>
      </text>
    </comment>
    <comment ref="H173" authorId="0" shapeId="0" xr:uid="{E6E66000-85F9-45AB-B73F-CA831C084CC4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FY26 Q4 diluted shares</t>
        </r>
      </text>
    </comment>
    <comment ref="H176" authorId="0" shapeId="0" xr:uid="{A3BA5886-EFFA-4DE1-BEA8-FABD459C3A0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Placeholder MDB price. Update with current. ~$290 May 2026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Brando Pakel</author>
  </authors>
  <commentList>
    <comment ref="O6" authorId="0" shapeId="0" xr:uid="{7E62CF1E-1FCA-4049-80A5-1C8784FB3AA7}">
      <text>
        <r>
          <rPr>
            <b/>
            <sz val="9"/>
            <color indexed="81"/>
            <rFont val="Tahoma"/>
            <charset val="1"/>
          </rPr>
          <t>TSM diluted EPS already converted to USD per ADR ($7.04). P/E = ADR price / ADR EPS.</t>
        </r>
      </text>
    </comment>
    <comment ref="N8" authorId="0" shapeId="0" xr:uid="{20500296-345A-407D-9B80-7F0C3F2E9F5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NET EBITDA may be negative — show n/m</t>
        </r>
      </text>
    </comment>
    <comment ref="O8" authorId="0" shapeId="0" xr:uid="{F970D33F-2577-4397-BAE9-BAC8441B94C1}">
      <text>
        <r>
          <rPr>
            <b/>
            <sz val="9"/>
            <color indexed="81"/>
            <rFont val="Tahoma"/>
            <charset val="1"/>
          </rPr>
          <t>NET has net loss — P/E not meaningful</t>
        </r>
      </text>
    </comment>
    <comment ref="N10" authorId="0" shapeId="0" xr:uid="{B8837236-C60F-42CF-B700-8DA2E628DBF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MDB EBITDA negative</t>
        </r>
      </text>
    </comment>
    <comment ref="O10" authorId="0" shapeId="0" xr:uid="{0B338D08-8CA6-4AE8-92BB-9565692B1E2B}">
      <text>
        <r>
          <rPr>
            <b/>
            <sz val="9"/>
            <color indexed="81"/>
            <rFont val="Tahoma"/>
            <charset val="1"/>
          </rPr>
          <t>MDB has net loss</t>
        </r>
      </text>
    </comment>
    <comment ref="N12" authorId="0" shapeId="0" xr:uid="{BD97B028-ADBC-4134-95F5-709BB3FE998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Excludes n/m EBITDA multiples (NET, MDB)</t>
        </r>
      </text>
    </comment>
    <comment ref="O12" authorId="0" shapeId="0" xr:uid="{B418BF98-BD44-44B9-ABA5-05CD177F53C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Excludes loss-makers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Brando Pakel</author>
  </authors>
  <commentList>
    <comment ref="C6" authorId="0" shapeId="0" xr:uid="{00F92C00-B6D3-4439-975F-2728FB1AB01F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Growth weight — edit me</t>
        </r>
      </text>
    </comment>
    <comment ref="D6" authorId="0" shapeId="0" xr:uid="{F5E14B4A-1B27-4672-98F1-BE3D94459AC3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Profitability weight — edit me</t>
        </r>
      </text>
    </comment>
    <comment ref="E6" authorId="0" shapeId="0" xr:uid="{2A8A6D62-E341-4F35-B4E9-6215FB18513D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Valuation weight — edit me</t>
        </r>
      </text>
    </comment>
    <comment ref="F6" authorId="0" shapeId="0" xr:uid="{71B187F9-4B2B-4F5B-AFA6-30EC4A5D70BA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Cash Flow weight — edit me</t>
        </r>
      </text>
    </comment>
    <comment ref="G6" authorId="0" shapeId="0" xr:uid="{12EF5C26-3B6A-4EC3-A462-78E2692B67D2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Should equal 100%</t>
        </r>
      </text>
    </comment>
    <comment ref="C7" authorId="0" shapeId="0" xr:uid="{F5E06ADA-882D-449C-8CDF-48E49CA2C95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Choose a preset to auto-load weights into C6:F6, or pick Custom to type your own.</t>
        </r>
      </text>
    </comment>
    <comment ref="F13" authorId="0" shapeId="0" xr:uid="{6605A468-B913-44D6-924C-09709A6317C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Updated to use NON-GAAP op margin so NET (positive) is fairly scored vs peers.</t>
        </r>
      </text>
    </comment>
    <comment ref="G13" authorId="0" shapeId="0" xr:uid="{C2B85D56-B970-4C35-9E7C-1F857077AC98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Use 999 placeholder for negative EBITDA so rank goes to worst</t>
        </r>
      </text>
    </comment>
    <comment ref="H13" authorId="0" shapeId="0" xr:uid="{DB9DB1A9-6FAD-49E4-B63A-3093EDFB5CB3}">
      <text>
        <r>
          <rPr>
            <b/>
            <sz val="9"/>
            <color indexed="81"/>
            <rFont val="Tahoma"/>
            <family val="2"/>
          </rPr>
          <t>Updated to use NON-GAAP EV/EBITDA from Comp Table X8 — fair comparison since NET is non-GAAP profitable.</t>
        </r>
      </text>
    </comment>
    <comment ref="F15" authorId="0" shapeId="0" xr:uid="{51653E19-3A4F-4E7C-8B06-C0EFCF63EDE7}">
      <text>
        <r>
          <rPr>
            <b/>
            <sz val="9"/>
            <color indexed="81"/>
            <rFont val="Tahoma"/>
            <family val="2"/>
          </rPr>
          <t>Updated to use NON-GAAP op margin so MDB (positive) is fairly scored vs peers.</t>
        </r>
      </text>
    </comment>
    <comment ref="H15" authorId="0" shapeId="0" xr:uid="{06A9B30B-4FD4-4A78-8F05-A32A772E4F7C}">
      <text>
        <r>
          <rPr>
            <b/>
            <sz val="9"/>
            <color indexed="81"/>
            <rFont val="Tahoma"/>
            <family val="2"/>
          </rPr>
          <t>Updated to use NON-GAAP EV/EBITDA from Comp Table X10 — fair comparison since MDB is non-GAAP profitable.</t>
        </r>
      </text>
    </comment>
    <comment ref="G19" authorId="0" shapeId="0" xr:uid="{57B0BB13-16FA-497B-9433-43C3FC9060F5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EV/Rev: lower is better (ascending rank)</t>
        </r>
      </text>
    </comment>
    <comment ref="C28" authorId="0" shapeId="0" xr:uid="{39B5B9A4-086B-462C-A892-937FBAD50363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Growth avg = avg of CAGR rank + YoY rank</t>
        </r>
      </text>
    </comment>
    <comment ref="D28" authorId="0" shapeId="0" xr:uid="{DD96C918-4FC6-4704-B3EE-1F9EFC8DDAC5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Profitability avg = Gross M + EBITDA M</t>
        </r>
      </text>
    </comment>
    <comment ref="E28" authorId="0" shapeId="0" xr:uid="{5AB852ED-918F-4702-9A61-A0764BF8CA1D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Valuation avg = EV/Rev + EV/EBITDA</t>
        </r>
      </text>
    </comment>
    <comment ref="F28" authorId="0" shapeId="0" xr:uid="{343759CF-342F-4FB8-AF22-BBDB93C1C655}">
      <text>
        <r>
          <rPr>
            <b/>
            <sz val="9"/>
            <color indexed="81"/>
            <rFont val="Tahoma"/>
            <family val="2"/>
          </rPr>
          <t>Brando Pakel:</t>
        </r>
        <r>
          <rPr>
            <sz val="9"/>
            <color indexed="81"/>
            <rFont val="Tahoma"/>
            <family val="2"/>
          </rPr>
          <t xml:space="preserve">
Cash flow avg = FCF M + FCF Yield</t>
        </r>
      </text>
    </comment>
    <comment ref="G28" authorId="0" shapeId="0" xr:uid="{318DA553-A6A9-4C3B-9CC3-C828A23C76B8}">
      <text>
        <r>
          <rPr>
            <b/>
            <sz val="9"/>
            <color indexed="81"/>
            <rFont val="Tahoma"/>
            <family val="2"/>
          </rPr>
          <t>Weighted composite (lower = better). Uses adjustable weights from row 6.</t>
        </r>
      </text>
    </comment>
    <comment ref="C56" authorId="0" shapeId="0" xr:uid="{2F427427-71EC-4362-AD0C-97D14E1B5BF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Edit cell: 'Composite' = pick #1 composite score (lower is better). 'RiskAdj' = pick best stressed EV/EBITDA delta (smallest multiple expansion).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Brando Pakel</author>
  </authors>
  <commentList>
    <comment ref="C18" authorId="0" shapeId="0" xr:uid="{D4FF6E25-6837-4AE6-BF25-65F0732C128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Bear: AI capex digestion, China export restrictions intensify, hyperscaler in-house silicon ramps</t>
        </r>
      </text>
    </comment>
    <comment ref="D18" authorId="0" shapeId="0" xr:uid="{B59235A4-956C-46BB-91F8-7CD2B30A424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Base: Blackwell ramp continues, datacenter demand normalizes from triple-digit growth</t>
        </r>
      </text>
    </comment>
    <comment ref="E18" authorId="0" shapeId="0" xr:uid="{24703CD9-4B39-4489-94F8-FAD230C61608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Bull: Sovereign AI + enterprise inference TAM expansion, Blackwell sells out</t>
        </r>
      </text>
    </comment>
    <comment ref="F18" authorId="0" shapeId="0" xr:uid="{FCCD7EB5-67C1-43E1-B18F-DA04F04A699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Bear: Pricing pressure from custom silicon competition, GM compresses toward 65%</t>
        </r>
      </text>
    </comment>
    <comment ref="G18" authorId="0" shapeId="0" xr:uid="{B3A8E36A-0B62-41C1-B579-EFDDDA260A2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Base: Hold near current ~62% EBITDA margin</t>
        </r>
      </text>
    </comment>
    <comment ref="H18" authorId="0" shapeId="0" xr:uid="{6F481D39-FFD9-4408-A093-50B674357EA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Bull: Modest expansion from operating leverage</t>
        </r>
      </text>
    </comment>
    <comment ref="C19" authorId="0" shapeId="0" xr:uid="{DE8F31BA-A96A-4361-AA3E-1C52D6E0F87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Bear: PC/smartphone weakness, AI orders normalize, geopolitical risk premium</t>
        </r>
      </text>
    </comment>
    <comment ref="D19" authorId="0" shapeId="0" xr:uid="{C389E3D5-FEEE-45CB-8AC2-642627440F8A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Base: Advanced node demand stays robust, Arizona ramp on track</t>
        </r>
      </text>
    </comment>
    <comment ref="E19" authorId="0" shapeId="0" xr:uid="{DDF981AF-DD65-4AD4-AC4C-0FE4B1BE97C5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Bull: N2/A16 yields ramp ahead of plan, ASP mix shift to leading edge</t>
        </r>
      </text>
    </comment>
    <comment ref="C20" authorId="0" shapeId="0" xr:uid="{F7956AEA-EAA6-4CD7-8475-479B251D31C2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Bear: Data center capex pause, liquid cooling adoption slower than hoped</t>
        </r>
      </text>
    </comment>
    <comment ref="E20" authorId="0" shapeId="0" xr:uid="{E6C9A205-36A5-4210-A25F-C8B93CCD6E0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Bull: Liquid cooling/power density tailwind accelerates, share gains</t>
        </r>
      </text>
    </comment>
    <comment ref="E21" authorId="0" shapeId="0" xr:uid="{33BE717A-B8FC-4439-A361-F33E3C9C1A5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Bull: Workers AI / edge inference becomes a material revenue line</t>
        </r>
      </text>
    </comment>
    <comment ref="G21" authorId="0" shapeId="0" xr:uid="{EA69E76D-AF2A-4A4C-8A8B-798399DE17C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Base: Margins inflect positive as scale arrives</t>
        </r>
      </text>
    </comment>
    <comment ref="C22" authorId="0" shapeId="0" xr:uid="{DDB369E8-EC2F-49E3-B838-AAE50F20A57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Bear: AIP customer logos decelerate, gov budget overhang, valuation reset</t>
        </r>
      </text>
    </comment>
    <comment ref="E22" authorId="0" shapeId="0" xr:uid="{20E9D882-0C75-4401-A152-59572C246EA6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Bull: AIP boot camps convert to enterprise wins at current pace, gov reaccelerates</t>
        </r>
      </text>
    </comment>
    <comment ref="E23" authorId="0" shapeId="0" xr:uid="{23048921-4CCD-43AC-AA55-7E94E3A5A9AE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Bull: Atlas consumption from vector/AI workloads inflects</t>
        </r>
      </text>
    </comment>
    <comment ref="H23" authorId="0" shapeId="0" xr:uid="{D866F1CB-F02D-49B0-B413-78E26C9D880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Bull: Crosses to material profitability on Atlas mix</t>
        </r>
      </text>
    </comment>
    <comment ref="C38" authorId="0" shapeId="0" xr:uid="{D143CE1D-759C-4B4A-BF50-679457460DF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Current GM (71.1%) minus current EBITDA margin (61.7%) = implied non-COGS opex+D&amp;A burden</t>
        </r>
      </text>
    </comment>
    <comment ref="E52" authorId="0" shapeId="0" xr:uid="{83C2857B-B3A0-4287-A26C-CFCC47B7342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Base case: 25% rev growth × 30% EBITDA margin</t>
        </r>
      </text>
    </comment>
    <comment ref="C59" authorId="0" shapeId="0" xr:uid="{CAC2C07D-146D-4F2F-BB1C-440CC903921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Editable global capex shock magnitude. Project plan called for -30%.</t>
        </r>
      </text>
    </comment>
    <comment ref="C62" authorId="0" shapeId="0" xr:uid="{77448BC6-9A7C-454A-9498-722B165F028C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~85% of NVDA revenue is data center / AI</t>
        </r>
      </text>
    </comment>
    <comment ref="F62" authorId="0" shapeId="0" xr:uid="{D285B47F-AE6D-47B4-9F89-8AD1EA200E9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Margin model: every 1pp rev decline = 0.5pp margin hit (operating leverage). Floor at -10%.</t>
        </r>
      </text>
    </comment>
    <comment ref="C63" authorId="0" shapeId="0" xr:uid="{D8A2FC53-D1FD-4D5A-A40C-6A781C48F07F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~50% of TSM wafer revenue tied to AI/HPC nodes</t>
        </r>
      </text>
    </comment>
    <comment ref="C64" authorId="0" shapeId="0" xr:uid="{155D92D2-C4EB-40E4-847F-8B8C3380CB44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~70% of VRT exposure is data center power/cooling</t>
        </r>
      </text>
    </comment>
    <comment ref="C65" authorId="0" shapeId="0" xr:uid="{67DE29A6-15C7-435D-922C-8C3A3C608C4D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~15% of NET tied to AI inference/Workers AI — indirect exposure</t>
        </r>
      </text>
    </comment>
    <comment ref="C66" authorId="0" shapeId="0" xr:uid="{62F71B86-6AB4-439D-95B2-41ED3C5D0B41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~40% of PLTR commercial revenue tied to AIP/AI workloads</t>
        </r>
      </text>
    </comment>
    <comment ref="C67" authorId="0" shapeId="0" xr:uid="{F467A1BD-F129-4D6F-97EB-ADAF1B4C5A3B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~20% of MDB tied to AI/vector workloads on Atlas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Brando Pakel</author>
  </authors>
  <commentList>
    <comment ref="D128" authorId="0" shapeId="0" xr:uid="{5BB43572-C2D1-4995-BF55-2934B58934B3}">
      <text>
        <r>
          <rPr>
            <b/>
            <sz val="9"/>
            <color indexed="81"/>
            <rFont val="Tahoma"/>
            <charset val="1"/>
          </rPr>
          <t>Brando Pakel:</t>
        </r>
        <r>
          <rPr>
            <sz val="9"/>
            <color indexed="81"/>
            <rFont val="Tahoma"/>
            <charset val="1"/>
          </rPr>
          <t xml:space="preserve">
NVDA combines S&amp;M into G&amp;A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<sst xmlns="http://schemas.openxmlformats.org/spreadsheetml/2006/main" count="871" uniqueCount="400">
  <si>
    <t>The AI Infrastructure Stack — Sector Teardown</t>
  </si>
  <si>
    <t>Comparable company analysis across 6 names in the AI infrastructure stack</t>
  </si>
  <si>
    <t>Universe</t>
  </si>
  <si>
    <t>Layer</t>
  </si>
  <si>
    <t>Thesis</t>
  </si>
  <si>
    <t>NVDA</t>
  </si>
  <si>
    <t>Chips / Compute</t>
  </si>
  <si>
    <t>The obvious king — but is the premium justified?</t>
  </si>
  <si>
    <t>TSM</t>
  </si>
  <si>
    <t>Foundry / Manufacturing</t>
  </si>
  <si>
    <t>Builds the chips everyone else designs</t>
  </si>
  <si>
    <t>VRT</t>
  </si>
  <si>
    <t>Power / Cooling</t>
  </si>
  <si>
    <t>Picks-and-shovels play on data center power</t>
  </si>
  <si>
    <t>NET</t>
  </si>
  <si>
    <t>Edge / Networking</t>
  </si>
  <si>
    <t>Workers AI and edge inference — early but strategic</t>
  </si>
  <si>
    <t>PLTR</t>
  </si>
  <si>
    <t>Data / Enterprise AI</t>
  </si>
  <si>
    <t>Enterprise AI darling, controversial valuation</t>
  </si>
  <si>
    <t>MDB</t>
  </si>
  <si>
    <t>Data Infrastructure</t>
  </si>
  <si>
    <t>Database layer powering AI-native applications</t>
  </si>
  <si>
    <t>Formatting key</t>
  </si>
  <si>
    <t>Hardcoded input</t>
  </si>
  <si>
    <t>Numbers entered from source filings (blue)</t>
  </si>
  <si>
    <t>Formula</t>
  </si>
  <si>
    <t>Derived calculation (black)</t>
  </si>
  <si>
    <t>Cross-sheet link</t>
  </si>
  <si>
    <t>Pulls from another tab (green)</t>
  </si>
  <si>
    <t>Key assumption</t>
  </si>
  <si>
    <t>Cell to toggle for scenarios (yellow highlight)</t>
  </si>
  <si>
    <t>Units</t>
  </si>
  <si>
    <t>All financial figures in USD millions unless noted</t>
  </si>
  <si>
    <t>Share counts in millions; per-share figures in USD</t>
  </si>
  <si>
    <t>Fiscal years as reported by each company (see year headers per block)</t>
  </si>
  <si>
    <t>Data Input — Financial Statements</t>
  </si>
  <si>
    <t>5 fiscal years per company, as reported. USD millions unless noted. Sources cited in cell notes.</t>
  </si>
  <si>
    <t>Line item</t>
  </si>
  <si>
    <t>Units / notes</t>
  </si>
  <si>
    <t>NVIDIA (NVDA)</t>
  </si>
  <si>
    <t>FY ending late Jan</t>
  </si>
  <si>
    <t>Fiscal year</t>
  </si>
  <si>
    <t>FY2021</t>
  </si>
  <si>
    <t>FY2022</t>
  </si>
  <si>
    <t>FY2023</t>
  </si>
  <si>
    <t>FY2024</t>
  </si>
  <si>
    <t>FY2025</t>
  </si>
  <si>
    <t>Income Statement</t>
  </si>
  <si>
    <t>Revenue</t>
  </si>
  <si>
    <t>$mm</t>
  </si>
  <si>
    <t>Cost of revenue</t>
  </si>
  <si>
    <t>Gross profit</t>
  </si>
  <si>
    <t>Operating expenses</t>
  </si>
  <si>
    <t>Operating income</t>
  </si>
  <si>
    <t>D&amp;A</t>
  </si>
  <si>
    <t>EBITDA</t>
  </si>
  <si>
    <t>Net income</t>
  </si>
  <si>
    <t>Diluted EPS</t>
  </si>
  <si>
    <t>$</t>
  </si>
  <si>
    <t>Cash Flow</t>
  </si>
  <si>
    <t>Cash from operations</t>
  </si>
  <si>
    <t>Capex</t>
  </si>
  <si>
    <t>Free cash flow</t>
  </si>
  <si>
    <t>Balance Sheet</t>
  </si>
  <si>
    <t>Cash &amp; equivalents</t>
  </si>
  <si>
    <t>Total debt</t>
  </si>
  <si>
    <t>Shares outstanding (diluted, EOP)</t>
  </si>
  <si>
    <t>mm</t>
  </si>
  <si>
    <t>Market Data (current)</t>
  </si>
  <si>
    <t>Stock price</t>
  </si>
  <si>
    <t>Market cap</t>
  </si>
  <si>
    <t>Enterprise value</t>
  </si>
  <si>
    <t>FY ending Dec</t>
  </si>
  <si>
    <t>Vertiv (VRT)</t>
  </si>
  <si>
    <t>Cloudflare (NET)</t>
  </si>
  <si>
    <t>Palantir (PLTR)</t>
  </si>
  <si>
    <t>MongoDB (MDB)</t>
  </si>
  <si>
    <t>FY2026</t>
  </si>
  <si>
    <t>CLOUDFLARE (NET)</t>
  </si>
  <si>
    <t>PALANTIR (PLTR)</t>
  </si>
  <si>
    <t>MONGODB (MDB)</t>
  </si>
  <si>
    <t>Fiscal year ends Jan 31</t>
  </si>
  <si>
    <t>TAIWAN SEMI (TSM)</t>
  </si>
  <si>
    <t>AI Infrastructure Stack — Comparable Company Analysis</t>
  </si>
  <si>
    <t>All figures in USD millions unless noted. Multiples use latest fiscal year data.</t>
  </si>
  <si>
    <t>Company</t>
  </si>
  <si>
    <t>Ticker</t>
  </si>
  <si>
    <t>Stack Layer</t>
  </si>
  <si>
    <t>Rev YoY</t>
  </si>
  <si>
    <t>Rev 3Y CAGR</t>
  </si>
  <si>
    <t>Gross Margin</t>
  </si>
  <si>
    <t>EBITDA Margin</t>
  </si>
  <si>
    <t>FCF Margin</t>
  </si>
  <si>
    <t>Market Cap</t>
  </si>
  <si>
    <t>EV</t>
  </si>
  <si>
    <t>EV/Revenue</t>
  </si>
  <si>
    <t>EV/EBITDA</t>
  </si>
  <si>
    <t>P/E</t>
  </si>
  <si>
    <t>FCF Yield</t>
  </si>
  <si>
    <t>Net Debt/EBITDA</t>
  </si>
  <si>
    <t>NVIDIA</t>
  </si>
  <si>
    <t>Taiwan Semi</t>
  </si>
  <si>
    <t>Foundry / Mfg</t>
  </si>
  <si>
    <t>Vertiv</t>
  </si>
  <si>
    <t>Cloudflare</t>
  </si>
  <si>
    <t>Palantir</t>
  </si>
  <si>
    <t>Data / Enterprise</t>
  </si>
  <si>
    <t>MongoDB</t>
  </si>
  <si>
    <t>Data Infra</t>
  </si>
  <si>
    <t>Median</t>
  </si>
  <si>
    <t>Mean</t>
  </si>
  <si>
    <t>Notes:</t>
  </si>
  <si>
    <t>• Latest fiscal year used per company. NVDA = FY26 (Jan 2026), TSM/VRT/NET/PLTR = CY2024, MDB = FY25 (Jan 2025).</t>
  </si>
  <si>
    <t>• P/E and EV/EBITDA shown as n/m for companies with net loss or negative EBITDA.</t>
  </si>
  <si>
    <t>• TSM EPS converted from NT$ to USD per ADR (5:1 ratio). Approximate.</t>
  </si>
  <si>
    <t>CY2021</t>
  </si>
  <si>
    <t>CY2022</t>
  </si>
  <si>
    <t>CY2023</t>
  </si>
  <si>
    <t>CY2024</t>
  </si>
  <si>
    <t>CY2025</t>
  </si>
  <si>
    <t>Growth</t>
  </si>
  <si>
    <t>Profitability</t>
  </si>
  <si>
    <t>Valuation</t>
  </si>
  <si>
    <t>Rev CAGR (3Y)</t>
  </si>
  <si>
    <t>Scoring Matrix — Weighted Investment Ranking</t>
  </si>
  <si>
    <t>Each company ranked 1–6 per metric (1=best). Weighted composite determines investment ranking. Adjust weights in row 6.</t>
  </si>
  <si>
    <t>Category</t>
  </si>
  <si>
    <t>Total</t>
  </si>
  <si>
    <t>Weight</t>
  </si>
  <si>
    <t>RAW METRICS (pulled from Comp Table)</t>
  </si>
  <si>
    <t>Taiwan Semi (TSM)</t>
  </si>
  <si>
    <t>RANKS (1 = best, 6 = worst)</t>
  </si>
  <si>
    <t>Rev CAGR</t>
  </si>
  <si>
    <t>Gross M</t>
  </si>
  <si>
    <t>EBITDA M</t>
  </si>
  <si>
    <t>EV/Rev</t>
  </si>
  <si>
    <t>FCF M</t>
  </si>
  <si>
    <t>CATEGORY SCORES (avg rank per category, weighted composite)</t>
  </si>
  <si>
    <t>Composite</t>
  </si>
  <si>
    <t>Rank</t>
  </si>
  <si>
    <t>Profit.</t>
  </si>
  <si>
    <t>Sum:</t>
  </si>
  <si>
    <t>WEIGHT SENSITIVITY — try shifting weights and watch ranks reshuffle</t>
  </si>
  <si>
    <t>Scenario</t>
  </si>
  <si>
    <t>Top Pick</t>
  </si>
  <si>
    <t>Composite scores by scenario (lower = better):</t>
  </si>
  <si>
    <t>Balanced</t>
  </si>
  <si>
    <t>Value</t>
  </si>
  <si>
    <t>FCF</t>
  </si>
  <si>
    <t>Winner under each scenario:</t>
  </si>
  <si>
    <t>WEIGHTS — edit the yellow cells</t>
  </si>
  <si>
    <t>Scenario Analysis</t>
  </si>
  <si>
    <t>Bull / Base / Bear forward modeling, margin sensitivity, and stress tests across the AI infrastructure stack</t>
  </si>
  <si>
    <t>1. Scenario Assumptions (Year +1)</t>
  </si>
  <si>
    <t>Current LTM Anchors</t>
  </si>
  <si>
    <t>Revenue ($mm)</t>
  </si>
  <si>
    <t>LTM Rev Growth</t>
  </si>
  <si>
    <t>LTM EBITDA Margin</t>
  </si>
  <si>
    <t>EV ($mm)</t>
  </si>
  <si>
    <t>Scenario Assumption Inputs (editable — blue cells)</t>
  </si>
  <si>
    <t>Bear Rev Growth</t>
  </si>
  <si>
    <t>Base Rev Growth</t>
  </si>
  <si>
    <t>Bull Rev Growth</t>
  </si>
  <si>
    <t>Bear EBITDA Mgn</t>
  </si>
  <si>
    <t>Base EBITDA Mgn</t>
  </si>
  <si>
    <t>Bull EBITDA Mgn</t>
  </si>
  <si>
    <t>2. Forward Outputs — Implied EV/EBITDA at Current EV (Year +1)</t>
  </si>
  <si>
    <t>Bear Revenue</t>
  </si>
  <si>
    <t>Base Revenue</t>
  </si>
  <si>
    <t>Bull Revenue</t>
  </si>
  <si>
    <t>Bear EBITDA</t>
  </si>
  <si>
    <t>Base EBITDA</t>
  </si>
  <si>
    <t>Bull EBITDA</t>
  </si>
  <si>
    <t>Bear EV/EBITDA</t>
  </si>
  <si>
    <t>Base EV/EBITDA</t>
  </si>
  <si>
    <t>Bull EV/EBITDA</t>
  </si>
  <si>
    <t>3. NVDA Gross Margin Compression Scenario</t>
  </si>
  <si>
    <t>How: hold opex+D&amp;A as % of revenue constant; flex GM → EBITDA margin → implied EV/EBITDA at current EV and current revenue.</t>
  </si>
  <si>
    <t>Implied opex+D&amp;A as % rev (anchor)</t>
  </si>
  <si>
    <t>GM Assumption</t>
  </si>
  <si>
    <t>Implied EBITDA Mgn</t>
  </si>
  <si>
    <t>EBITDA at LTM Rev ($mm)</t>
  </si>
  <si>
    <t>EV/EBITDA at Current EV</t>
  </si>
  <si>
    <t>vs Current Multiple</t>
  </si>
  <si>
    <t>Compression — 65% GM</t>
  </si>
  <si>
    <t>Hold — 75% GM</t>
  </si>
  <si>
    <t>Expand — 80% GM</t>
  </si>
  <si>
    <t>Current (memo)</t>
  </si>
  <si>
    <t>4. PLTR Sensitivity — Implied Year+1 EV/EBITDA</t>
  </si>
  <si>
    <t>Holding EV constant at current $372,592mm. Rows = EBITDA margin; Columns = Year+1 revenue growth. Yellow = base case (25% growth × 30% margin).</t>
  </si>
  <si>
    <t>EBITDA Mgn \ Rev Growth</t>
  </si>
  <si>
    <t>Current EV/EBITDA (memo):</t>
  </si>
  <si>
    <t>5. Stress Test — AI Capex Spending Declines 30%</t>
  </si>
  <si>
    <t>If hyperscaler + sovereign AI capex declines 30% from peak: revenue impact = (AI-tied revenue share) × -30%. Margin impact assumes high operating leverage on top-line shortfall.</t>
  </si>
  <si>
    <t>Global capex shock:</t>
  </si>
  <si>
    <t>AI-Tied Rev Share</t>
  </si>
  <si>
    <t>Implied Rev Hit</t>
  </si>
  <si>
    <t>Stressed Rev ($mm)</t>
  </si>
  <si>
    <t>Stressed EBITDA Mgn</t>
  </si>
  <si>
    <t>Stressed EBITDA</t>
  </si>
  <si>
    <t>Stressed EV/EBITDA</t>
  </si>
  <si>
    <t>vs Current</t>
  </si>
  <si>
    <t>Exposure Rank</t>
  </si>
  <si>
    <t>6. Key Takeaways</t>
  </si>
  <si>
    <t>NVDA — margin sensitivity is the asymmetric story</t>
  </si>
  <si>
    <t>Compressing GM from 71% to 65% lifts EV/EBITDA from 33x to 37x (+3.6x). Expanding to 80% only takes it to 29x (-4.2x). The downside multiple expansion is real but the stock is not cheap on a forward basis at any GM scenario — 23.5x base EV/EBITDA already prices in continued 45%+ growth. The risk isn't GM; it's whether revenue compounds to justify the multiple.</t>
  </si>
  <si>
    <t>TSM — best risk/reward in the stack</t>
  </si>
  <si>
    <t>Base case 22x EV/EBITDA, bull 19x. Even in the -30% capex stress test, multiple expands only to 36x — the lowest among the chip/foundry/power trio. Leading-edge node dependency creates a structural floor.</t>
  </si>
  <si>
    <t>PLTR — sensitivity table shows no scenario where current valuation is defensible</t>
  </si>
  <si>
    <t>Even at 35% revenue growth and 40% EBITDA margins (the bull/bull corner), implied forward EV/EBITDA is still 154x. Current 259x assumes either margin expansion beyond software-peer norms or growth that exceeds the bull scenario. Sentiment-driven valuation — underwriting fundamentals is hard at any sensitivity corner.</t>
  </si>
  <si>
    <t>NET / MDB — negative-EBITDA names obscure stress test signal</t>
  </si>
  <si>
    <t>Both currently near breakeven; small revenue hits push EBITDA negative, breaking the EV/EBITDA frame. These are EV/Revenue stories. NET 32x EV/Rev requires the 28-40% growth path; MDB 10x EV/Rev is the most defensible if Atlas vector momentum holds.</t>
  </si>
  <si>
    <t>Stack-level conclusion</t>
  </si>
  <si>
    <t>Foundry (TSM) shows the cleanest risk-adjusted setup; chips (NVDA) carry the most operational quality but full priced-in growth; power/cooling (VRT) is the highest beta; data/enterprise AI (PLTR) is a sentiment trade. Application/infra software (NET, MDB) require believing in inflection on AI-adjacent workloads. If forced to pick one for asymmetry, TSM compounds through the cycle; if for upside, VRT has the most slope.</t>
  </si>
  <si>
    <t>AI Infrastructure Stack — Visual Analysis</t>
  </si>
  <si>
    <t>Charts pull live from Comp Table, Scoring Matrix, and Scenarios. Edit source data → charts update automatically.</t>
  </si>
  <si>
    <t>Chart 1 — Revenue Growth Comparison</t>
  </si>
  <si>
    <t>Source: Comp Table cols F (Rev YoY) and G (Rev 3Y CAGR)</t>
  </si>
  <si>
    <t>Chart 2 — Margin Profile by Company</t>
  </si>
  <si>
    <t>Source: Comp Table cols H (Gross), I (EBITDA), J (FCF)</t>
  </si>
  <si>
    <t>Chart 3 — Valuation vs Growth (bubble size = Market Cap)</t>
  </si>
  <si>
    <t>Bubble chart: X = Rev YoY, Y = EV/Revenue, Size = Market Cap ($mm)</t>
  </si>
  <si>
    <t>Rev YoY (X)</t>
  </si>
  <si>
    <t>EV/Revenue (Y)</t>
  </si>
  <si>
    <t>Market Cap (Size)</t>
  </si>
  <si>
    <t>Chart 4 — Composite Score Ranking (Scoring Matrix)</t>
  </si>
  <si>
    <t>Source: Scoring Matrix G28:G33 (weighted composite, lower = better)</t>
  </si>
  <si>
    <t>Composite Score</t>
  </si>
  <si>
    <t>Chart 5 — Stack Layer EV Concentration</t>
  </si>
  <si>
    <t>EV by stack layer ($mm) — shows where market cap is concentrated</t>
  </si>
  <si>
    <t>Chart 6 — AI Capex -30% Stress Test Impact (EV/EBITDA)</t>
  </si>
  <si>
    <t>Source: Scenarios B62:B67 (current vs stressed EV/EBITDA). NET/MDB go EBITDA-negative — capped at 999 for display.</t>
  </si>
  <si>
    <t>Current EV/EBITDA</t>
  </si>
  <si>
    <t>Takeaway:</t>
  </si>
  <si>
    <t>NVDA leads on both LTM growth (66%) and 3-yr CAGR (100%) — the only name where 3-yr exceeds LTM. PLTR LTM growth (56%) accelerated above its 3-yr trend (33%). MDB is the lone decelerator below 25% on both timeframes.</t>
  </si>
  <si>
    <t>PLTR has the highest GM (82%) but EBITDA/FCF show that operating leverage hasn't fully flowed through. NET and MDB have software-like GMs (~72-75%) but EBITDA margins near zero — still reinvesting. VRT is the inverse: low GM (36%) but solid EBITDA (21%), classic industrial profile.</t>
  </si>
  <si>
    <t>PLTR sits in the upper-left danger zone (high multiple, moderate growth). NVDA in the upper-right shows the most defensible premium (high multiple BUT highest growth). VRT in the lower-left is the value play — 5x EV/Rev with 28% growth.</t>
  </si>
  <si>
    <t>NVDA wins the composite (2.4) by leading on growth + profitability + FCF, despite the worst valuation rank. NET and MDB score worst overall — reinvestment-heavy software with weak current profitability. TSM (3.25) and PLTR (3.0) are the surprise mid-tier picks.</t>
  </si>
  <si>
    <t>Chips + Foundry own ~88% of stack EV ($6.4T combined). Application/data infra layers (PLTR, NET, MDB) collectively just $466B — 7% of the stack. Power/cooling (VRT) is the smallest at $52B. The 'picks-and-shovels' angle remains the dominant capital sink.</t>
  </si>
  <si>
    <t>VRT shows the steepest multiple expansion under stress (24x → 62x EV/EBITDA, +37x) — highest beta to AI capex. PLTR goes from 259x to 361x — already too rich to absorb. TSM is the cleanest at +9x. NET and MDB go EBITDA-negative under stress (excluded from chart).</t>
  </si>
  <si>
    <t>AI Infrastructure Stack — Investment Dashboard</t>
  </si>
  <si>
    <t>Full-cycle teardown across six layers of the AI value chain  •  Live links to Comp Table, Scoring Matrix, Scenarios, Charts</t>
  </si>
  <si>
    <t>TOP PICK</t>
  </si>
  <si>
    <t>Best risk-adjusted setup in the stack. Leading-edge node dependency creates a structural floor: even the -30% AI capex stress only pushes EV/EBITDA to 36x. 17x base-case forward multiple is the cleanest in the chip + foundry trio. Compounds through the cycle, not just into it.</t>
  </si>
  <si>
    <t>LTM Revenue</t>
  </si>
  <si>
    <t>Rev Growth</t>
  </si>
  <si>
    <t>Stack Overview — Six Companies, Six Layers</t>
  </si>
  <si>
    <t>Score</t>
  </si>
  <si>
    <t>Comparative Metrics</t>
  </si>
  <si>
    <t>Metric</t>
  </si>
  <si>
    <t>Revenue YoY</t>
  </si>
  <si>
    <t>Revenue 3Y CAGR</t>
  </si>
  <si>
    <t>Market Cap ($mm)</t>
  </si>
  <si>
    <t>Enterprise Value</t>
  </si>
  <si>
    <t>EV / Revenue</t>
  </si>
  <si>
    <t>EV / EBITDA</t>
  </si>
  <si>
    <t>Forward EV/EBITDA Scenarios (Year +1)</t>
  </si>
  <si>
    <t>Multiple at current EV under each growth + margin scenario. n/m where forward EBITDA is negative or near-zero (&gt;500x display floor).</t>
  </si>
  <si>
    <t>Current</t>
  </si>
  <si>
    <t>Bear</t>
  </si>
  <si>
    <t>Base</t>
  </si>
  <si>
    <t>Bull</t>
  </si>
  <si>
    <t>vs Current (Base)</t>
  </si>
  <si>
    <t>Bull Re-rating</t>
  </si>
  <si>
    <t>Risk Profile — AI Capex Stress Exposure</t>
  </si>
  <si>
    <t>Impact of a -30% AI capex shock on each name. Higher AI-tied revenue share + thinner margins = greater multiple expansion under stress.</t>
  </si>
  <si>
    <t>AI Rev Share</t>
  </si>
  <si>
    <t>Multiple Δ</t>
  </si>
  <si>
    <t>Risk Verdict</t>
  </si>
  <si>
    <t>Stack Thesis — Layer-by-Layer</t>
  </si>
  <si>
    <t>Pick</t>
  </si>
  <si>
    <t>View</t>
  </si>
  <si>
    <t>Rationale</t>
  </si>
  <si>
    <t>Highest growth, highest margins, top composite (2.4). Premium fully justified on fundamentals — but 23.5x base forward EV/EBITDA prices in continued 45%+ growth. The question isn't quality; it's whether revenue compounds enough to justify the multiple.</t>
  </si>
  <si>
    <t>Cleanest risk-adjusted setup. 17x base forward EV/EBITDA, leading-edge node moat, lowest multiple expansion under capex stress (+9x). Compounds through the cycle, not just into it.</t>
  </si>
  <si>
    <t>Best upside if AI capex keeps compounding (15x bull forward EV/EBITDA), but thinnest margins mean reverse operating leverage: capex shock takes EV/EBITDA from 24x to 62x. Highest-slope play on AI infra.</t>
  </si>
  <si>
    <t>32x EV/Rev with near-zero EBITDA — pure forward-growth story at a premium price. Worst composite (4.5). Indirect AI exposure via Workers AI is real but doesn't yet move the model.</t>
  </si>
  <si>
    <t>259x EV/EBITDA. Sensitivity grid shows no corner where current valuation is defensible — even bull/bull (35% growth, 40% margins) implies 154x. Sentiment trade, not fundamentals trade.</t>
  </si>
  <si>
    <t>Most defensible reset name in the table. 10x EV/Rev is the cheapest software multiple; story rides on Atlas vector momentum showing up in numbers. Low AI capex exposure cuts both ways.</t>
  </si>
  <si>
    <t>Workbook Navigation</t>
  </si>
  <si>
    <t>Methodology Note</t>
  </si>
  <si>
    <t>All metrics LTM unless noted. Forward outputs assume Year+1 revenue under stated growth × stated EBITDA margin. EV/EBITDA marked n/m where forward EBITDA ≤ 0 or &gt; 500x (display floor). Capex stress test applies a -30% global AI capex shock weighted by each company's estimated AI-tied revenue share, with reverse operating leverage (±50bps EBITDA margin per 1pp revenue change, floored at -10%). All assumptions editable in [Scenarios](&lt;citation:Scenarios&gt;) and [Scoring Matrix](&lt;citation:'Scoring Matrix'&gt;) — dashboard refreshes automatically.</t>
  </si>
  <si>
    <t>LTM Refresh — Most Recent Quarter (sourced from latest 10-Q / earnings release)</t>
  </si>
  <si>
    <t>Pulled from SEC filings / official earnings releases on the date stamped below. LTM = latest reported FY + most recent Q − same Q one year ago.</t>
  </si>
  <si>
    <t>Workbook last refreshed:</t>
  </si>
  <si>
    <t>Pricing as of:</t>
  </si>
  <si>
    <t>May 22, 2026 close</t>
  </si>
  <si>
    <t>Latest Period</t>
  </si>
  <si>
    <t>Period Ended</t>
  </si>
  <si>
    <t>Quarter Rev ($mm)</t>
  </si>
  <si>
    <t>YoY Q Growth</t>
  </si>
  <si>
    <t>LTM Revenue ($mm)</t>
  </si>
  <si>
    <t>Δ vs FY (workbook)</t>
  </si>
  <si>
    <t>Source</t>
  </si>
  <si>
    <t>Q1 FY27</t>
  </si>
  <si>
    <t>NVDA Q1 FY27 press release</t>
  </si>
  <si>
    <t>Q1 2026</t>
  </si>
  <si>
    <t>TSMC Q1 2026 6-K</t>
  </si>
  <si>
    <t>VRT Q1 2026 10-Q</t>
  </si>
  <si>
    <t>NET Q1 2026 8-K</t>
  </si>
  <si>
    <t>PLTR Q1 2026 10-Q</t>
  </si>
  <si>
    <t>Q4 FY26</t>
  </si>
  <si>
    <t>MDB Q4 FY26 release</t>
  </si>
  <si>
    <t>Model Mode:</t>
  </si>
  <si>
    <t>FY</t>
  </si>
  <si>
    <t>VRT — was the value play; now the high-beta play</t>
  </si>
  <si>
    <t>Stock rerated hard (price ~$130 → $327): EV/Revenue went 5x → 13x, EV/EBITDA 24x → 60x. Composite score moved from #3 to #4. With 70% AI-tied revenue + thin 21% EBITDA margin, the operating leverage cuts both ways: stressed EBITDA falls 70% under a -30% capex shock and EV/EBITDA explodes to 154x. No longer cheap; now the highest-beta way to own AI infra capex — levered to the cycle on the upside, but most exposed if hyperscalers slow.</t>
  </si>
  <si>
    <t>Extended Line Items — OpEx Detail, Non-GAAP, Segments, SaaS Metrics</t>
  </si>
  <si>
    <t>All values $mm unless noted. % values = share of total revenue. Sources in cell notes. Each column = one company; each row = one metric across 5 years (FY1–FY5 stacked).</t>
  </si>
  <si>
    <t>OPEX BREAKDOWN ($mm)</t>
  </si>
  <si>
    <t>Research &amp; Development</t>
  </si>
  <si>
    <t xml:space="preserve">  FY1</t>
  </si>
  <si>
    <t xml:space="preserve">  FY2</t>
  </si>
  <si>
    <t xml:space="preserve">  FY3</t>
  </si>
  <si>
    <t xml:space="preserve">  FY4</t>
  </si>
  <si>
    <t xml:space="preserve">  FY5 (latest)</t>
  </si>
  <si>
    <t>Sales &amp; Marketing</t>
  </si>
  <si>
    <t>General &amp; Administrative</t>
  </si>
  <si>
    <t>Stock-Based Compensation (total)</t>
  </si>
  <si>
    <t>Other OpEx (restructuring, amort.)</t>
  </si>
  <si>
    <t>NON-GAAP RECONCILIATION ($mm)</t>
  </si>
  <si>
    <t>Non-GAAP Operating Income</t>
  </si>
  <si>
    <t>Non-GAAP Op Margin (calc)</t>
  </si>
  <si>
    <t>Non-GAAP EBITDA (NG OpInc + D&amp;A)</t>
  </si>
  <si>
    <t>REVENUE SEGMENTS (FY5 latest, $mm)</t>
  </si>
  <si>
    <t>Primary segment</t>
  </si>
  <si>
    <t>Secondary segment</t>
  </si>
  <si>
    <t>Tertiary segment</t>
  </si>
  <si>
    <t>Other segments</t>
  </si>
  <si>
    <t>Primary % of revenue</t>
  </si>
  <si>
    <t>SAAS METRICS (where applicable)</t>
  </si>
  <si>
    <t>Net Revenue Retention %</t>
  </si>
  <si>
    <t>Large customers (&gt;$100K ARR)</t>
  </si>
  <si>
    <t>Total customers</t>
  </si>
  <si>
    <t>RPO ($mm)</t>
  </si>
  <si>
    <t>Rule of 40 (Rev growth % + Op margin %)</t>
  </si>
  <si>
    <t>FY22</t>
  </si>
  <si>
    <t>FY23</t>
  </si>
  <si>
    <t>FY24</t>
  </si>
  <si>
    <t>FY25</t>
  </si>
  <si>
    <t>FY26</t>
  </si>
  <si>
    <t>Data Center</t>
  </si>
  <si>
    <t>Gaming</t>
  </si>
  <si>
    <t>Professional Visualization</t>
  </si>
  <si>
    <t>Automotive + OEM</t>
  </si>
  <si>
    <t>n/a</t>
  </si>
  <si>
    <t>HPC (incl. AI)</t>
  </si>
  <si>
    <t>Smartphone</t>
  </si>
  <si>
    <t>IoT</t>
  </si>
  <si>
    <t>Auto + DCE + Other</t>
  </si>
  <si>
    <t>Critical Infrastructure &amp; Solutions</t>
  </si>
  <si>
    <t>Services &amp; Spares</t>
  </si>
  <si>
    <t>Integrated Rack Solutions</t>
  </si>
  <si>
    <t>Application Services</t>
  </si>
  <si>
    <t>Network Services</t>
  </si>
  <si>
    <t>Developer Platform / Workers AI</t>
  </si>
  <si>
    <t>US Commercial</t>
  </si>
  <si>
    <t>US Government</t>
  </si>
  <si>
    <t>International Commercial</t>
  </si>
  <si>
    <t>International Government</t>
  </si>
  <si>
    <t>Atlas (cloud)</t>
  </si>
  <si>
    <t>Enterprise Advanced (self-hosted)</t>
  </si>
  <si>
    <t>Community / OSS</t>
  </si>
  <si>
    <t>Services</t>
  </si>
  <si>
    <t>R&amp;D %</t>
  </si>
  <si>
    <t>S&amp;M %</t>
  </si>
  <si>
    <t>G&amp;A %</t>
  </si>
  <si>
    <t>SBC %</t>
  </si>
  <si>
    <t>Non-GAAP Op Mgn</t>
  </si>
  <si>
    <t>Non-GAAP EBITDA</t>
  </si>
  <si>
    <t>NG EV/EBITDA</t>
  </si>
  <si>
    <t>Rule of 40</t>
  </si>
  <si>
    <t>Cost Structure &amp; Non-GAAP Reality Check</t>
  </si>
  <si>
    <t>OpEx breakdown reveals where each company invests. SBC % shows the GAAP-to-cash bridge. Non-GAAP EV/EBITDA is the fair valuation lens when GAAP EBITDA is depressed by stock-comp.</t>
  </si>
  <si>
    <t>R&amp;D as % of revenue</t>
  </si>
  <si>
    <t>S&amp;M as % of revenue</t>
  </si>
  <si>
    <t>incl in G&amp;A</t>
  </si>
  <si>
    <t>G&amp;A as % of revenue</t>
  </si>
  <si>
    <t>SBC as % of revenue (dilution)</t>
  </si>
  <si>
    <t>GAAP Op Margin</t>
  </si>
  <si>
    <t>Non-GAAP Op Margin</t>
  </si>
  <si>
    <t>GAAP EBITDA ($mm)</t>
  </si>
  <si>
    <t>Non-GAAP EBITDA ($mm)</t>
  </si>
  <si>
    <t>GAAP EV/EBITDA</t>
  </si>
  <si>
    <t>Non-GAAP EV/EBITDA</t>
  </si>
  <si>
    <t>Rule of 40 (growth + NG margin)</t>
  </si>
  <si>
    <t>Chart 7 — Cost Structure: OpEx Mix as % of Revenue</t>
  </si>
  <si>
    <t>Stacked bar: R&amp;D + S&amp;M + G&amp;A + SBC overlay (SBC is mostly inside the others but shown separately for visibility)</t>
  </si>
  <si>
    <t>Other %</t>
  </si>
  <si>
    <t>Software names (NET, MDB, PLTR) spend 60-80% of revenue on OpEx; chips (NVDA) ~13%. The 'software-grade margins' narrative requires looking at non-GAAP — NET's non-GAAP op margin of 11% is real, but it's 75pp below NVDA. MDB and NET combined R&amp;D+S&amp;M near 60% of revenue is the AI-repositioning investment cycle in action.</t>
  </si>
  <si>
    <t>PICK SELECTION DRIVER</t>
  </si>
  <si>
    <t>Selection methodology: edit C55 to pick by 'Composite' (highest score) or 'RiskAdj' (best stress-test outcome). All Dashboard labels flow from here.</t>
  </si>
  <si>
    <t>Method:</t>
  </si>
  <si>
    <t>RiskAdj</t>
  </si>
  <si>
    <t>Top Pick Ticker:</t>
  </si>
  <si>
    <t>Top Pick Layer:</t>
  </si>
  <si>
    <t>Top Pick Name:</t>
  </si>
  <si>
    <t>Preset:</t>
  </si>
  <si>
    <t>Custom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</si>
</sst>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;\(#,##0\);\-"/>
    <numFmt numFmtId="165" formatCode="&quot;$&quot;#,##0.00"/>
    <numFmt numFmtId="166" formatCode="#,##0.0;\(#,##0.0\);\-"/>
    <numFmt numFmtId="167" formatCode="&quot;$&quot;#,##0;\(&quot;$&quot;#,##0\);\-"/>
    <numFmt numFmtId="168" formatCode="0.0%;\(0.0%\);\-"/>
    <numFmt numFmtId="169" formatCode="0.0&quot;x&quot;;\(0.0&quot;x&quot;\);\-"/>
    <numFmt numFmtId="170" formatCode="0.0\x;\(0.0\x\);\-"/>
    <numFmt numFmtId="171" formatCode="0.0%"/>
    <numFmt numFmtId="172" formatCode="\+0.0\x;\-0.0\x;\-"/>
    <numFmt numFmtId="173" formatCode="\+0.0%;\(0.0%\);\-"/>
    <numFmt numFmtId="174" formatCode="\+&quot;$&quot;#,##0;\-&quot;$&quot;#,##0;\-"/>
    <numFmt numFmtId="175" formatCode="[&gt;999]&quot;n/m&quot;;0.0\x"/>
    <numFmt numFmtId="176" formatCode="0.00%;\(0.00%\);\-"/>
  </numFmts>
  <fonts count="6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rgb="FF1F2937"/>
      <name val="Aptos Narrow"/>
      <family val="2"/>
      <scheme val="minor"/>
    </font>
    <font>
      <i/>
      <sz val="11"/>
      <color rgb="FF6B7280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8000"/>
      <name val="Aptos Narrow"/>
      <family val="2"/>
      <scheme val="minor"/>
    </font>
    <font>
      <b/>
      <sz val="16"/>
      <color rgb="FF1F2937"/>
      <name val="Aptos Narrow"/>
      <family val="2"/>
      <scheme val="minor"/>
    </font>
    <font>
      <i/>
      <sz val="10"/>
      <color rgb="FF6B7280"/>
      <name val="Aptos Narrow"/>
      <family val="2"/>
      <scheme val="minor"/>
    </font>
    <font>
      <b/>
      <sz val="13"/>
      <color rgb="FFFFFFFF"/>
      <name val="Aptos Narrow"/>
      <family val="2"/>
      <scheme val="minor"/>
    </font>
    <font>
      <i/>
      <sz val="11"/>
      <color rgb="FFFFFFFF"/>
      <name val="Aptos Narrow"/>
      <family val="2"/>
      <scheme val="minor"/>
    </font>
    <font>
      <b/>
      <i/>
      <sz val="11"/>
      <color rgb="FF6B7280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4"/>
      <color rgb="FF1F4E79"/>
      <name val="Aptos Narrow"/>
      <family val="2"/>
      <scheme val="minor"/>
    </font>
    <font>
      <i/>
      <sz val="9"/>
      <color rgb="FF595959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9"/>
      <color rgb="FF9CA3AF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rgb="FF1F4E79"/>
      <name val="Aptos Narrow"/>
      <family val="2"/>
      <scheme val="minor"/>
    </font>
    <font>
      <i/>
      <sz val="10"/>
      <color rgb="FF595959"/>
      <name val="Aptos Narrow"/>
      <family val="2"/>
      <scheme val="minor"/>
    </font>
    <font>
      <b/>
      <sz val="11"/>
      <color rgb="FF1F4E79"/>
      <name val="Aptos Narrow"/>
      <family val="2"/>
      <scheme val="minor"/>
    </font>
    <font>
      <b/>
      <sz val="12"/>
      <color rgb="FF1F4E79"/>
      <name val="Aptos Narrow"/>
      <family val="2"/>
      <scheme val="minor"/>
    </font>
    <font>
      <b/>
      <i/>
      <sz val="11"/>
      <color rgb="FF595959"/>
      <name val="Aptos Narrow"/>
      <family val="2"/>
      <scheme val="minor"/>
    </font>
    <font>
      <i/>
      <sz val="11"/>
      <color rgb="FF595959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rgb="FF1F3864"/>
      <name val="Aptos Narrow"/>
      <family val="2"/>
      <scheme val="minor"/>
    </font>
    <font>
      <b/>
      <sz val="11"/>
      <color rgb="FF1F3864"/>
      <name val="Aptos Narrow"/>
      <family val="2"/>
      <scheme val="minor"/>
    </font>
    <font>
      <sz val="10"/>
      <color rgb="FF595959"/>
      <name val="Aptos Narrow"/>
      <family val="2"/>
      <scheme val="minor"/>
    </font>
    <font>
      <sz val="11"/>
      <color rgb="FF262626"/>
      <name val="Aptos Narrow"/>
      <family val="2"/>
      <scheme val="minor"/>
    </font>
    <font>
      <sz val="10"/>
      <color rgb="FF262626"/>
      <name val="Aptos Narrow"/>
      <family val="2"/>
      <scheme val="minor"/>
    </font>
    <font>
      <i/>
      <sz val="10"/>
      <color rgb="FF262626"/>
      <name val="Aptos Narrow"/>
      <family val="2"/>
      <scheme val="minor"/>
    </font>
    <font>
      <sz val="9"/>
      <color rgb="FF595959"/>
      <name val="Aptos Narrow"/>
      <family val="2"/>
      <scheme val="minor"/>
    </font>
    <font>
      <b/>
      <sz val="10"/>
      <color rgb="FF1F3864"/>
      <name val="Aptos Narrow"/>
      <family val="2"/>
      <scheme val="minor"/>
    </font>
    <font>
      <b/>
      <sz val="20"/>
      <color rgb="FF1F3864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70AD47"/>
      <name val="Aptos Narrow"/>
      <family val="2"/>
      <scheme val="minor"/>
    </font>
    <font>
      <b/>
      <sz val="18"/>
      <color rgb="FFFFFFFF"/>
      <name val="Aptos Narrow"/>
      <family val="2"/>
      <scheme val="minor"/>
    </font>
    <font>
      <b/>
      <sz val="12"/>
      <color rgb="FF1F3864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u/>
      <sz val="11"/>
      <color rgb="FF0563C1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rgb="FF0000FF"/>
      <name val="Aptos Narrow"/>
      <family val="2"/>
      <scheme val="minor"/>
    </font>
    <font>
      <i/>
      <sz val="11"/>
      <color rgb="FF1F3864"/>
      <name val="Aptos Narrow"/>
      <family val="2"/>
      <scheme val="minor"/>
    </font>
    <font>
      <b/>
      <i/>
      <sz val="10"/>
      <color rgb="FFFFFFFF"/>
      <name val="Aptos Narrow"/>
      <family val="2"/>
      <scheme val="minor"/>
    </font>
    <font>
      <i/>
      <sz val="10"/>
      <color rgb="FF1F3864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1"/>
      <color rgb="FF70AD47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24"/>
      <color rgb="FFFFFFFF"/>
      <name val="Aptos Narrow"/>
      <family val="2"/>
      <scheme val="minor"/>
    </font>
    <font>
      <b/>
      <sz val="14"/>
      <color rgb="FF1F3864"/>
      <name val="Aptos Narrow"/>
      <family val="2"/>
      <scheme val="minor"/>
    </font>
    <font>
      <i/>
      <sz val="11"/>
      <color rgb="FF808080"/>
      <name val="Aptos Narrow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1F293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6B900"/>
        <bgColor indexed="64"/>
      </patternFill>
    </fill>
    <fill>
      <patternFill patternType="solid">
        <fgColor rgb="FFE5E7EB"/>
        <bgColor indexed="64"/>
      </patternFill>
    </fill>
    <fill>
      <patternFill patternType="solid">
        <fgColor rgb="FFE60012"/>
        <bgColor indexed="64"/>
      </patternFill>
    </fill>
    <fill>
      <patternFill patternType="solid">
        <fgColor rgb="FF003DA5"/>
        <bgColor indexed="64"/>
      </patternFill>
    </fill>
    <fill>
      <patternFill patternType="solid">
        <fgColor rgb="FFF3802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00684A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6F0FF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E6FFE6"/>
        <bgColor indexed="64"/>
      </patternFill>
    </fill>
    <fill>
      <patternFill patternType="solid">
        <fgColor rgb="FFFFF4D6"/>
        <bgColor indexed="64"/>
      </patternFill>
    </fill>
    <fill>
      <patternFill patternType="solid">
        <fgColor rgb="FFF0E6FF"/>
        <bgColor indexed="64"/>
      </patternFill>
    </fill>
    <fill>
      <patternFill patternType="solid">
        <fgColor rgb="FFE6F9F4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1F386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2E75B6"/>
        <bgColor indexed="64"/>
      </patternFill>
    </fill>
    <fill>
      <patternFill patternType="solid">
        <fgColor rgb="FFFBE5D6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7E6E6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rgb="FF1F3864"/>
      </top>
      <bottom/>
      <diagonal/>
    </border>
    <border>
      <left/>
      <right/>
      <top/>
      <bottom style="medium">
        <color rgb="FF1F3864"/>
      </bottom>
      <diagonal/>
    </border>
    <border>
      <left style="medium">
        <color auto="1"/>
      </left>
      <right/>
      <top/>
      <bottom/>
      <diagonal/>
    </border>
    <border>
      <left style="medium">
        <color rgb="FF1F3864"/>
      </left>
      <right/>
      <top style="medium">
        <color rgb="FF1F3864"/>
      </top>
      <bottom/>
      <diagonal/>
    </border>
    <border>
      <left style="medium">
        <color rgb="FF1F3864"/>
      </left>
      <right/>
      <top/>
      <bottom/>
      <diagonal/>
    </border>
    <border>
      <left style="medium">
        <color rgb="FF1F3864"/>
      </left>
      <right/>
      <top/>
      <bottom style="medium">
        <color rgb="FF1F38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rgb="FF1F3864"/>
      </right>
      <top style="medium">
        <color rgb="FF1F3864"/>
      </top>
      <bottom/>
      <diagonal/>
    </border>
    <border>
      <left/>
      <right style="medium">
        <color rgb="FF1F3864"/>
      </right>
      <top/>
      <bottom/>
      <diagonal/>
    </border>
    <border>
      <left/>
      <right style="medium">
        <color rgb="FF1F3864"/>
      </right>
      <top/>
      <bottom style="medium">
        <color rgb="FF1F38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31" fillId="0" borderId="0" applyNumberFormat="0" applyFill="0" applyBorder="0" applyAlignment="0" applyProtection="0"/>
  </cellStyleXfs>
  <cellXfs count="248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0" xfId="0" applyFont="1" applyFill="1"/>
    <xf numFmtId="0" fontId="1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0" fillId="3" borderId="0" xfId="0" applyFill="1"/>
    <xf numFmtId="0" fontId="9" fillId="0" borderId="0" xfId="0" applyFont="1"/>
    <xf numFmtId="0" fontId="10" fillId="0" borderId="0" xfId="0" applyFont="1"/>
    <xf numFmtId="0" fontId="5" fillId="2" borderId="0" xfId="0" applyFont="1" applyFill="1"/>
    <xf numFmtId="0" fontId="11" fillId="4" borderId="0" xfId="0" applyFont="1" applyFill="1"/>
    <xf numFmtId="0" fontId="12" fillId="4" borderId="0" xfId="0" applyFont="1" applyFill="1"/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13" fillId="0" borderId="0" xfId="0" applyFont="1"/>
    <xf numFmtId="164" fontId="14" fillId="0" borderId="0" xfId="0" applyNumberFormat="1" applyFont="1"/>
    <xf numFmtId="164" fontId="0" fillId="0" borderId="0" xfId="0" applyNumberFormat="1"/>
    <xf numFmtId="165" fontId="14" fillId="0" borderId="0" xfId="0" applyNumberFormat="1" applyFont="1"/>
    <xf numFmtId="166" fontId="14" fillId="0" borderId="0" xfId="0" applyNumberFormat="1" applyFont="1"/>
    <xf numFmtId="0" fontId="11" fillId="6" borderId="0" xfId="0" applyFont="1" applyFill="1"/>
    <xf numFmtId="0" fontId="12" fillId="6" borderId="0" xfId="0" applyFont="1" applyFill="1"/>
    <xf numFmtId="0" fontId="11" fillId="7" borderId="0" xfId="0" applyFont="1" applyFill="1"/>
    <xf numFmtId="0" fontId="12" fillId="7" borderId="0" xfId="0" applyFont="1" applyFill="1"/>
    <xf numFmtId="0" fontId="11" fillId="8" borderId="0" xfId="0" applyFont="1" applyFill="1"/>
    <xf numFmtId="0" fontId="12" fillId="8" borderId="0" xfId="0" applyFont="1" applyFill="1"/>
    <xf numFmtId="0" fontId="11" fillId="9" borderId="0" xfId="0" applyFont="1" applyFill="1"/>
    <xf numFmtId="0" fontId="12" fillId="9" borderId="0" xfId="0" applyFont="1" applyFill="1"/>
    <xf numFmtId="0" fontId="11" fillId="10" borderId="0" xfId="0" applyFont="1" applyFill="1"/>
    <xf numFmtId="0" fontId="12" fillId="10" borderId="0" xfId="0" applyFont="1" applyFill="1"/>
    <xf numFmtId="0" fontId="17" fillId="0" borderId="0" xfId="0" applyFont="1"/>
    <xf numFmtId="0" fontId="18" fillId="0" borderId="0" xfId="0" applyFont="1"/>
    <xf numFmtId="0" fontId="5" fillId="11" borderId="0" xfId="0" applyFont="1" applyFill="1"/>
    <xf numFmtId="0" fontId="5" fillId="11" borderId="0" xfId="0" applyFont="1" applyFill="1" applyAlignment="1">
      <alignment horizontal="center"/>
    </xf>
    <xf numFmtId="0" fontId="19" fillId="12" borderId="0" xfId="0" applyFont="1" applyFill="1"/>
    <xf numFmtId="167" fontId="0" fillId="0" borderId="0" xfId="0" applyNumberFormat="1"/>
    <xf numFmtId="168" fontId="0" fillId="0" borderId="0" xfId="0" applyNumberFormat="1"/>
    <xf numFmtId="167" fontId="0" fillId="0" borderId="0" xfId="0" quotePrefix="1" applyNumberFormat="1"/>
    <xf numFmtId="169" fontId="0" fillId="0" borderId="0" xfId="0" quotePrefix="1" applyNumberFormat="1"/>
    <xf numFmtId="169" fontId="0" fillId="0" borderId="0" xfId="0" applyNumberFormat="1"/>
    <xf numFmtId="0" fontId="1" fillId="13" borderId="0" xfId="0" applyFont="1" applyFill="1"/>
    <xf numFmtId="0" fontId="0" fillId="13" borderId="0" xfId="0" applyFill="1"/>
    <xf numFmtId="0" fontId="1" fillId="14" borderId="0" xfId="0" applyFont="1" applyFill="1"/>
    <xf numFmtId="0" fontId="0" fillId="14" borderId="0" xfId="0" applyFill="1"/>
    <xf numFmtId="0" fontId="1" fillId="15" borderId="0" xfId="0" applyFont="1" applyFill="1"/>
    <xf numFmtId="0" fontId="0" fillId="15" borderId="0" xfId="0" applyFill="1"/>
    <xf numFmtId="0" fontId="1" fillId="16" borderId="0" xfId="0" applyFont="1" applyFill="1"/>
    <xf numFmtId="0" fontId="0" fillId="16" borderId="0" xfId="0" applyFill="1"/>
    <xf numFmtId="0" fontId="1" fillId="17" borderId="0" xfId="0" applyFont="1" applyFill="1"/>
    <xf numFmtId="0" fontId="0" fillId="17" borderId="0" xfId="0" applyFill="1"/>
    <xf numFmtId="0" fontId="20" fillId="12" borderId="0" xfId="0" applyFont="1" applyFill="1"/>
    <xf numFmtId="167" fontId="20" fillId="12" borderId="0" xfId="0" applyNumberFormat="1" applyFont="1" applyFill="1"/>
    <xf numFmtId="168" fontId="20" fillId="12" borderId="0" xfId="0" applyNumberFormat="1" applyFont="1" applyFill="1"/>
    <xf numFmtId="169" fontId="20" fillId="12" borderId="0" xfId="0" applyNumberFormat="1" applyFont="1" applyFill="1"/>
    <xf numFmtId="0" fontId="1" fillId="18" borderId="1" xfId="0" applyFont="1" applyFill="1" applyBorder="1"/>
    <xf numFmtId="0" fontId="0" fillId="18" borderId="1" xfId="0" applyFill="1" applyBorder="1"/>
    <xf numFmtId="167" fontId="0" fillId="0" borderId="1" xfId="0" applyNumberFormat="1" applyBorder="1"/>
    <xf numFmtId="168" fontId="0" fillId="0" borderId="1" xfId="0" applyNumberFormat="1" applyBorder="1"/>
    <xf numFmtId="167" fontId="0" fillId="0" borderId="1" xfId="0" quotePrefix="1" applyNumberFormat="1" applyBorder="1"/>
    <xf numFmtId="169" fontId="0" fillId="0" borderId="1" xfId="0" quotePrefix="1" applyNumberFormat="1" applyBorder="1"/>
    <xf numFmtId="169" fontId="0" fillId="0" borderId="1" xfId="0" applyNumberFormat="1" applyBorder="1"/>
    <xf numFmtId="0" fontId="19" fillId="12" borderId="1" xfId="0" applyFont="1" applyFill="1" applyBorder="1"/>
    <xf numFmtId="0" fontId="20" fillId="12" borderId="1" xfId="0" applyFont="1" applyFill="1" applyBorder="1"/>
    <xf numFmtId="167" fontId="20" fillId="12" borderId="1" xfId="0" applyNumberFormat="1" applyFont="1" applyFill="1" applyBorder="1"/>
    <xf numFmtId="168" fontId="20" fillId="12" borderId="1" xfId="0" applyNumberFormat="1" applyFont="1" applyFill="1" applyBorder="1"/>
    <xf numFmtId="169" fontId="20" fillId="12" borderId="1" xfId="0" applyNumberFormat="1" applyFont="1" applyFill="1" applyBorder="1"/>
    <xf numFmtId="0" fontId="5" fillId="11" borderId="2" xfId="0" applyFont="1" applyFill="1" applyBorder="1" applyAlignment="1">
      <alignment horizontal="left"/>
    </xf>
    <xf numFmtId="0" fontId="5" fillId="11" borderId="2" xfId="0" applyFont="1" applyFill="1" applyBorder="1" applyAlignment="1">
      <alignment horizontal="center"/>
    </xf>
    <xf numFmtId="0" fontId="5" fillId="11" borderId="2" xfId="0" applyFont="1" applyFill="1" applyBorder="1" applyAlignment="1">
      <alignment horizontal="right"/>
    </xf>
    <xf numFmtId="1" fontId="21" fillId="0" borderId="0" xfId="0" applyNumberFormat="1" applyFont="1" applyAlignment="1">
      <alignment horizontal="right"/>
    </xf>
    <xf numFmtId="0" fontId="24" fillId="0" borderId="0" xfId="0" applyFont="1"/>
    <xf numFmtId="0" fontId="25" fillId="0" borderId="0" xfId="0" applyFont="1"/>
    <xf numFmtId="0" fontId="27" fillId="0" borderId="0" xfId="0" applyFont="1"/>
    <xf numFmtId="0" fontId="1" fillId="12" borderId="0" xfId="0" applyFont="1" applyFill="1"/>
    <xf numFmtId="2" fontId="0" fillId="0" borderId="0" xfId="0" applyNumberFormat="1"/>
    <xf numFmtId="0" fontId="29" fillId="0" borderId="0" xfId="0" applyFont="1"/>
    <xf numFmtId="0" fontId="29" fillId="0" borderId="0" xfId="0" applyFont="1" applyAlignment="1">
      <alignment horizontal="right"/>
    </xf>
    <xf numFmtId="0" fontId="5" fillId="11" borderId="3" xfId="0" applyFont="1" applyFill="1" applyBorder="1" applyAlignment="1">
      <alignment horizontal="center"/>
    </xf>
    <xf numFmtId="0" fontId="5" fillId="11" borderId="4" xfId="0" applyFont="1" applyFill="1" applyBorder="1"/>
    <xf numFmtId="0" fontId="0" fillId="0" borderId="5" xfId="0" applyBorder="1"/>
    <xf numFmtId="0" fontId="0" fillId="0" borderId="6" xfId="0" applyBorder="1"/>
    <xf numFmtId="0" fontId="5" fillId="11" borderId="7" xfId="0" applyFont="1" applyFill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2" fontId="1" fillId="0" borderId="0" xfId="0" applyNumberFormat="1" applyFont="1"/>
    <xf numFmtId="1" fontId="1" fillId="0" borderId="8" xfId="0" applyNumberFormat="1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0" fontId="28" fillId="0" borderId="0" xfId="0" applyFont="1"/>
    <xf numFmtId="0" fontId="26" fillId="0" borderId="0" xfId="0" applyFont="1" applyAlignment="1">
      <alignment horizontal="center"/>
    </xf>
    <xf numFmtId="0" fontId="32" fillId="0" borderId="0" xfId="0" applyFont="1"/>
    <xf numFmtId="0" fontId="11" fillId="20" borderId="0" xfId="0" applyFont="1" applyFill="1"/>
    <xf numFmtId="0" fontId="0" fillId="20" borderId="0" xfId="0" applyFill="1"/>
    <xf numFmtId="0" fontId="33" fillId="0" borderId="0" xfId="0" applyFont="1"/>
    <xf numFmtId="0" fontId="1" fillId="21" borderId="0" xfId="0" applyFont="1" applyFill="1"/>
    <xf numFmtId="0" fontId="1" fillId="21" borderId="0" xfId="0" applyFont="1" applyFill="1" applyAlignment="1">
      <alignment horizontal="center"/>
    </xf>
    <xf numFmtId="0" fontId="1" fillId="22" borderId="0" xfId="0" applyFont="1" applyFill="1" applyAlignment="1">
      <alignment horizontal="center"/>
    </xf>
    <xf numFmtId="0" fontId="1" fillId="23" borderId="0" xfId="0" applyFont="1" applyFill="1" applyAlignment="1">
      <alignment horizontal="center"/>
    </xf>
    <xf numFmtId="0" fontId="1" fillId="19" borderId="0" xfId="0" applyFont="1" applyFill="1" applyAlignment="1">
      <alignment horizontal="center"/>
    </xf>
    <xf numFmtId="168" fontId="14" fillId="0" borderId="0" xfId="0" applyNumberFormat="1" applyFont="1"/>
    <xf numFmtId="170" fontId="0" fillId="0" borderId="0" xfId="0" applyNumberFormat="1"/>
    <xf numFmtId="170" fontId="0" fillId="20" borderId="0" xfId="0" applyNumberFormat="1" applyFill="1"/>
    <xf numFmtId="170" fontId="1" fillId="22" borderId="0" xfId="0" applyNumberFormat="1" applyFont="1" applyFill="1" applyAlignment="1">
      <alignment horizontal="center"/>
    </xf>
    <xf numFmtId="170" fontId="1" fillId="23" borderId="0" xfId="0" applyNumberFormat="1" applyFont="1" applyFill="1" applyAlignment="1">
      <alignment horizontal="center"/>
    </xf>
    <xf numFmtId="170" fontId="1" fillId="19" borderId="0" xfId="0" applyNumberFormat="1" applyFont="1" applyFill="1" applyAlignment="1">
      <alignment horizontal="center"/>
    </xf>
    <xf numFmtId="0" fontId="0" fillId="23" borderId="0" xfId="0" applyFill="1"/>
    <xf numFmtId="168" fontId="0" fillId="23" borderId="0" xfId="0" applyNumberFormat="1" applyFill="1"/>
    <xf numFmtId="0" fontId="0" fillId="22" borderId="0" xfId="0" applyFill="1"/>
    <xf numFmtId="171" fontId="0" fillId="0" borderId="0" xfId="0" applyNumberFormat="1"/>
    <xf numFmtId="172" fontId="0" fillId="0" borderId="0" xfId="0" applyNumberFormat="1"/>
    <xf numFmtId="0" fontId="0" fillId="19" borderId="0" xfId="0" applyFill="1"/>
    <xf numFmtId="168" fontId="29" fillId="0" borderId="0" xfId="0" applyNumberFormat="1" applyFont="1"/>
    <xf numFmtId="167" fontId="29" fillId="0" borderId="0" xfId="0" applyNumberFormat="1" applyFont="1"/>
    <xf numFmtId="170" fontId="29" fillId="0" borderId="0" xfId="0" applyNumberFormat="1" applyFont="1"/>
    <xf numFmtId="168" fontId="6" fillId="21" borderId="0" xfId="0" applyNumberFormat="1" applyFont="1" applyFill="1" applyAlignment="1">
      <alignment horizontal="center"/>
    </xf>
    <xf numFmtId="170" fontId="0" fillId="0" borderId="0" xfId="0" applyNumberFormat="1" applyAlignment="1">
      <alignment horizontal="center"/>
    </xf>
    <xf numFmtId="170" fontId="11" fillId="20" borderId="0" xfId="0" applyNumberFormat="1" applyFont="1" applyFill="1" applyAlignment="1">
      <alignment horizontal="center"/>
    </xf>
    <xf numFmtId="170" fontId="0" fillId="20" borderId="0" xfId="0" applyNumberFormat="1" applyFill="1" applyAlignment="1">
      <alignment horizontal="center"/>
    </xf>
    <xf numFmtId="170" fontId="25" fillId="0" borderId="0" xfId="0" applyNumberFormat="1" applyFont="1" applyAlignment="1">
      <alignment horizontal="center"/>
    </xf>
    <xf numFmtId="170" fontId="1" fillId="3" borderId="0" xfId="0" applyNumberFormat="1" applyFont="1" applyFill="1" applyAlignment="1">
      <alignment horizontal="center"/>
    </xf>
    <xf numFmtId="170" fontId="1" fillId="21" borderId="0" xfId="0" applyNumberFormat="1" applyFont="1" applyFill="1" applyAlignment="1">
      <alignment horizontal="center"/>
    </xf>
    <xf numFmtId="170" fontId="6" fillId="21" borderId="0" xfId="0" applyNumberFormat="1" applyFont="1" applyFill="1" applyAlignment="1">
      <alignment horizontal="center"/>
    </xf>
    <xf numFmtId="170" fontId="28" fillId="21" borderId="0" xfId="0" applyNumberFormat="1" applyFont="1" applyFill="1" applyAlignment="1">
      <alignment horizontal="center"/>
    </xf>
    <xf numFmtId="0" fontId="11" fillId="24" borderId="0" xfId="0" applyFont="1" applyFill="1"/>
    <xf numFmtId="168" fontId="6" fillId="24" borderId="0" xfId="0" applyNumberFormat="1" applyFont="1" applyFill="1" applyAlignment="1">
      <alignment horizontal="center"/>
    </xf>
    <xf numFmtId="0" fontId="0" fillId="24" borderId="0" xfId="0" applyFill="1"/>
    <xf numFmtId="0" fontId="1" fillId="0" borderId="0" xfId="0" applyFont="1" applyAlignment="1">
      <alignment horizontal="right"/>
    </xf>
    <xf numFmtId="168" fontId="6" fillId="3" borderId="0" xfId="0" applyNumberFormat="1" applyFont="1" applyFill="1"/>
    <xf numFmtId="0" fontId="1" fillId="0" borderId="0" xfId="0" applyFont="1" applyAlignment="1">
      <alignment horizontal="center"/>
    </xf>
    <xf numFmtId="0" fontId="36" fillId="0" borderId="0" xfId="0" applyFont="1"/>
    <xf numFmtId="0" fontId="37" fillId="0" borderId="0" xfId="0" applyFont="1"/>
    <xf numFmtId="0" fontId="4" fillId="20" borderId="0" xfId="0" applyFont="1" applyFill="1"/>
    <xf numFmtId="0" fontId="39" fillId="0" borderId="0" xfId="0" applyFont="1"/>
    <xf numFmtId="0" fontId="40" fillId="0" borderId="0" xfId="0" applyFont="1"/>
    <xf numFmtId="170" fontId="0" fillId="0" borderId="0" xfId="0" applyNumberFormat="1" applyAlignment="1">
      <alignment horizontal="right"/>
    </xf>
    <xf numFmtId="0" fontId="1" fillId="26" borderId="0" xfId="0" applyFont="1" applyFill="1" applyAlignment="1">
      <alignment horizontal="center"/>
    </xf>
    <xf numFmtId="170" fontId="0" fillId="26" borderId="0" xfId="0" applyNumberFormat="1" applyFill="1" applyAlignment="1">
      <alignment horizontal="center"/>
    </xf>
    <xf numFmtId="170" fontId="0" fillId="23" borderId="0" xfId="0" applyNumberFormat="1" applyFill="1" applyAlignment="1">
      <alignment horizontal="center"/>
    </xf>
    <xf numFmtId="170" fontId="0" fillId="19" borderId="0" xfId="0" applyNumberFormat="1" applyFill="1" applyAlignment="1">
      <alignment horizontal="center"/>
    </xf>
    <xf numFmtId="172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0" fontId="5" fillId="24" borderId="0" xfId="0" applyFont="1" applyFill="1"/>
    <xf numFmtId="0" fontId="5" fillId="24" borderId="0" xfId="0" applyFont="1" applyFill="1" applyAlignment="1">
      <alignment horizontal="center"/>
    </xf>
    <xf numFmtId="0" fontId="5" fillId="27" borderId="0" xfId="0" applyFont="1" applyFill="1"/>
    <xf numFmtId="0" fontId="5" fillId="27" borderId="0" xfId="0" applyFont="1" applyFill="1" applyAlignment="1">
      <alignment horizontal="center"/>
    </xf>
    <xf numFmtId="0" fontId="5" fillId="25" borderId="0" xfId="0" applyFont="1" applyFill="1" applyAlignment="1">
      <alignment horizontal="center"/>
    </xf>
    <xf numFmtId="0" fontId="47" fillId="0" borderId="0" xfId="1" applyFont="1" applyAlignment="1">
      <alignment horizontal="center"/>
    </xf>
    <xf numFmtId="0" fontId="46" fillId="0" borderId="0" xfId="0" applyFont="1" applyAlignment="1">
      <alignment wrapText="1"/>
    </xf>
    <xf numFmtId="0" fontId="34" fillId="0" borderId="0" xfId="0" applyFont="1" applyAlignment="1">
      <alignment wrapText="1"/>
    </xf>
    <xf numFmtId="0" fontId="0" fillId="12" borderId="0" xfId="0" applyFill="1"/>
    <xf numFmtId="0" fontId="35" fillId="12" borderId="0" xfId="0" applyFont="1" applyFill="1" applyAlignment="1">
      <alignment wrapText="1"/>
    </xf>
    <xf numFmtId="0" fontId="38" fillId="12" borderId="0" xfId="0" applyFont="1" applyFill="1"/>
    <xf numFmtId="0" fontId="0" fillId="20" borderId="10" xfId="0" applyFill="1" applyBorder="1"/>
    <xf numFmtId="0" fontId="0" fillId="20" borderId="11" xfId="0" applyFill="1" applyBorder="1"/>
    <xf numFmtId="0" fontId="0" fillId="12" borderId="12" xfId="0" applyFill="1" applyBorder="1"/>
    <xf numFmtId="167" fontId="42" fillId="12" borderId="12" xfId="0" applyNumberFormat="1" applyFont="1" applyFill="1" applyBorder="1"/>
    <xf numFmtId="168" fontId="43" fillId="12" borderId="12" xfId="0" applyNumberFormat="1" applyFont="1" applyFill="1" applyBorder="1"/>
    <xf numFmtId="170" fontId="42" fillId="12" borderId="12" xfId="0" applyNumberFormat="1" applyFont="1" applyFill="1" applyBorder="1"/>
    <xf numFmtId="2" fontId="42" fillId="12" borderId="12" xfId="0" applyNumberFormat="1" applyFont="1" applyFill="1" applyBorder="1"/>
    <xf numFmtId="0" fontId="41" fillId="20" borderId="14" xfId="0" applyFont="1" applyFill="1" applyBorder="1" applyAlignment="1">
      <alignment horizontal="center"/>
    </xf>
    <xf numFmtId="0" fontId="0" fillId="12" borderId="15" xfId="0" applyFill="1" applyBorder="1"/>
    <xf numFmtId="0" fontId="0" fillId="12" borderId="16" xfId="0" applyFill="1" applyBorder="1"/>
    <xf numFmtId="0" fontId="0" fillId="20" borderId="18" xfId="0" applyFill="1" applyBorder="1"/>
    <xf numFmtId="0" fontId="0" fillId="12" borderId="19" xfId="0" applyFill="1" applyBorder="1"/>
    <xf numFmtId="0" fontId="0" fillId="12" borderId="20" xfId="0" applyFill="1" applyBorder="1"/>
    <xf numFmtId="0" fontId="44" fillId="25" borderId="21" xfId="0" applyFont="1" applyFill="1" applyBorder="1" applyAlignment="1">
      <alignment horizontal="center"/>
    </xf>
    <xf numFmtId="0" fontId="18" fillId="12" borderId="22" xfId="0" applyFont="1" applyFill="1" applyBorder="1" applyAlignment="1">
      <alignment horizontal="center"/>
    </xf>
    <xf numFmtId="0" fontId="38" fillId="0" borderId="22" xfId="0" applyFont="1" applyBorder="1" applyAlignment="1">
      <alignment horizontal="center"/>
    </xf>
    <xf numFmtId="168" fontId="42" fillId="0" borderId="22" xfId="0" applyNumberFormat="1" applyFont="1" applyBorder="1" applyAlignment="1">
      <alignment horizontal="center"/>
    </xf>
    <xf numFmtId="170" fontId="42" fillId="0" borderId="22" xfId="0" applyNumberFormat="1" applyFont="1" applyBorder="1" applyAlignment="1">
      <alignment horizontal="center"/>
    </xf>
    <xf numFmtId="2" fontId="45" fillId="0" borderId="23" xfId="0" applyNumberFormat="1" applyFont="1" applyBorder="1" applyAlignment="1">
      <alignment horizontal="center"/>
    </xf>
    <xf numFmtId="0" fontId="44" fillId="25" borderId="24" xfId="0" applyFont="1" applyFill="1" applyBorder="1" applyAlignment="1">
      <alignment horizontal="center"/>
    </xf>
    <xf numFmtId="0" fontId="18" fillId="12" borderId="25" xfId="0" applyFont="1" applyFill="1" applyBorder="1" applyAlignment="1">
      <alignment horizontal="center"/>
    </xf>
    <xf numFmtId="0" fontId="38" fillId="0" borderId="25" xfId="0" applyFont="1" applyBorder="1" applyAlignment="1">
      <alignment horizontal="center"/>
    </xf>
    <xf numFmtId="168" fontId="42" fillId="0" borderId="25" xfId="0" applyNumberFormat="1" applyFont="1" applyBorder="1" applyAlignment="1">
      <alignment horizontal="center"/>
    </xf>
    <xf numFmtId="170" fontId="42" fillId="0" borderId="25" xfId="0" applyNumberFormat="1" applyFont="1" applyBorder="1" applyAlignment="1">
      <alignment horizontal="center"/>
    </xf>
    <xf numFmtId="2" fontId="45" fillId="0" borderId="26" xfId="0" applyNumberFormat="1" applyFont="1" applyBorder="1" applyAlignment="1">
      <alignment horizontal="center"/>
    </xf>
    <xf numFmtId="0" fontId="48" fillId="20" borderId="0" xfId="0" applyFont="1" applyFill="1"/>
    <xf numFmtId="15" fontId="6" fillId="3" borderId="0" xfId="0" applyNumberFormat="1" applyFont="1" applyFill="1"/>
    <xf numFmtId="0" fontId="6" fillId="3" borderId="0" xfId="0" applyFont="1" applyFill="1"/>
    <xf numFmtId="15" fontId="0" fillId="0" borderId="0" xfId="0" applyNumberFormat="1" applyAlignment="1">
      <alignment horizontal="center"/>
    </xf>
    <xf numFmtId="167" fontId="14" fillId="0" borderId="0" xfId="0" applyNumberFormat="1" applyFont="1"/>
    <xf numFmtId="174" fontId="0" fillId="0" borderId="0" xfId="0" applyNumberFormat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5" fontId="0" fillId="0" borderId="2" xfId="0" applyNumberFormat="1" applyBorder="1" applyAlignment="1">
      <alignment horizontal="center"/>
    </xf>
    <xf numFmtId="167" fontId="14" fillId="0" borderId="2" xfId="0" applyNumberFormat="1" applyFont="1" applyBorder="1"/>
    <xf numFmtId="168" fontId="14" fillId="0" borderId="2" xfId="0" applyNumberFormat="1" applyFont="1" applyBorder="1"/>
    <xf numFmtId="174" fontId="0" fillId="0" borderId="2" xfId="0" applyNumberFormat="1" applyBorder="1"/>
    <xf numFmtId="0" fontId="48" fillId="20" borderId="27" xfId="0" applyFont="1" applyFill="1" applyBorder="1"/>
    <xf numFmtId="0" fontId="25" fillId="0" borderId="13" xfId="0" applyFont="1" applyBorder="1"/>
    <xf numFmtId="0" fontId="0" fillId="0" borderId="13" xfId="0" applyBorder="1"/>
    <xf numFmtId="0" fontId="1" fillId="0" borderId="13" xfId="0" applyFont="1" applyBorder="1" applyAlignment="1">
      <alignment horizontal="right"/>
    </xf>
    <xf numFmtId="0" fontId="1" fillId="21" borderId="13" xfId="0" applyFont="1" applyFill="1" applyBorder="1" applyAlignment="1">
      <alignment horizontal="center"/>
    </xf>
    <xf numFmtId="0" fontId="1" fillId="5" borderId="13" xfId="0" applyFont="1" applyFill="1" applyBorder="1" applyAlignment="1">
      <alignment horizontal="center"/>
    </xf>
    <xf numFmtId="0" fontId="1" fillId="0" borderId="13" xfId="0" applyFont="1" applyBorder="1"/>
    <xf numFmtId="0" fontId="1" fillId="0" borderId="28" xfId="0" applyFont="1" applyBorder="1"/>
    <xf numFmtId="0" fontId="0" fillId="20" borderId="29" xfId="0" applyFill="1" applyBorder="1"/>
    <xf numFmtId="0" fontId="0" fillId="0" borderId="17" xfId="0" applyBorder="1"/>
    <xf numFmtId="0" fontId="1" fillId="21" borderId="17" xfId="0" applyFont="1" applyFill="1" applyBorder="1" applyAlignment="1">
      <alignment horizontal="center"/>
    </xf>
    <xf numFmtId="0" fontId="49" fillId="0" borderId="17" xfId="0" applyFont="1" applyBorder="1"/>
    <xf numFmtId="0" fontId="49" fillId="0" borderId="30" xfId="0" applyFont="1" applyBorder="1"/>
    <xf numFmtId="0" fontId="50" fillId="0" borderId="31" xfId="0" applyFont="1" applyBorder="1" applyAlignment="1">
      <alignment horizontal="right"/>
    </xf>
    <xf numFmtId="0" fontId="51" fillId="3" borderId="32" xfId="0" applyFont="1" applyFill="1" applyBorder="1" applyAlignment="1">
      <alignment horizontal="center"/>
    </xf>
    <xf numFmtId="0" fontId="52" fillId="0" borderId="33" xfId="0" applyFont="1" applyBorder="1"/>
    <xf numFmtId="0" fontId="53" fillId="20" borderId="0" xfId="0" applyFont="1" applyFill="1" applyAlignment="1">
      <alignment horizontal="right"/>
    </xf>
    <xf numFmtId="0" fontId="54" fillId="0" borderId="0" xfId="0" applyFont="1" applyAlignment="1">
      <alignment horizontal="right"/>
    </xf>
    <xf numFmtId="171" fontId="6" fillId="3" borderId="0" xfId="0" applyNumberFormat="1" applyFont="1" applyFill="1" applyAlignment="1">
      <alignment horizontal="center"/>
    </xf>
    <xf numFmtId="171" fontId="1" fillId="19" borderId="0" xfId="0" applyNumberFormat="1" applyFont="1" applyFill="1" applyAlignment="1">
      <alignment horizontal="center"/>
    </xf>
    <xf numFmtId="170" fontId="0" fillId="0" borderId="1" xfId="0" applyNumberFormat="1" applyBorder="1"/>
    <xf numFmtId="175" fontId="0" fillId="0" borderId="0" xfId="0" applyNumberFormat="1"/>
    <xf numFmtId="175" fontId="0" fillId="0" borderId="1" xfId="0" applyNumberFormat="1" applyBorder="1"/>
    <xf numFmtId="176" fontId="0" fillId="0" borderId="8" xfId="0" applyNumberFormat="1" applyBorder="1"/>
    <xf numFmtId="176" fontId="0" fillId="0" borderId="9" xfId="0" applyNumberFormat="1" applyBorder="1"/>
    <xf numFmtId="1" fontId="0" fillId="0" borderId="0" xfId="0" applyNumberFormat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1" xfId="0" applyNumberForma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71" fontId="0" fillId="0" borderId="0" xfId="0" applyNumberFormat="1" applyAlignment="1">
      <alignment horizontal="center"/>
    </xf>
    <xf numFmtId="0" fontId="0" fillId="25" borderId="0" xfId="0" applyFill="1"/>
    <xf numFmtId="0" fontId="0" fillId="27" borderId="0" xfId="0" applyFill="1"/>
    <xf numFmtId="0" fontId="5" fillId="28" borderId="0" xfId="0" applyFont="1" applyFill="1"/>
    <xf numFmtId="0" fontId="0" fillId="28" borderId="0" xfId="0" applyFill="1"/>
    <xf numFmtId="3" fontId="0" fillId="0" borderId="0" xfId="0" applyNumberFormat="1"/>
    <xf numFmtId="0" fontId="5" fillId="20" borderId="0" xfId="0" applyFont="1" applyFill="1" applyAlignment="1">
      <alignment horizontal="center"/>
    </xf>
    <xf numFmtId="0" fontId="11" fillId="27" borderId="0" xfId="0" applyFont="1" applyFill="1"/>
    <xf numFmtId="0" fontId="30" fillId="0" borderId="0" xfId="0" applyFont="1" applyAlignment="1">
      <alignment horizontal="center"/>
    </xf>
    <xf numFmtId="0" fontId="55" fillId="0" borderId="0" xfId="0" applyFont="1"/>
    <xf numFmtId="0" fontId="56" fillId="0" borderId="0" xfId="0" applyFont="1"/>
    <xf numFmtId="168" fontId="1" fillId="0" borderId="0" xfId="0" applyNumberFormat="1" applyFont="1"/>
    <xf numFmtId="0" fontId="7" fillId="0" borderId="0" xfId="0" applyFont="1" applyAlignment="1">
      <alignment horizontal="left"/>
    </xf>
    <xf numFmtId="0" fontId="57" fillId="21" borderId="0" xfId="0" applyFont="1" applyFill="1" applyAlignment="1">
      <alignment horizontal="center"/>
    </xf>
    <xf numFmtId="167" fontId="7" fillId="0" borderId="0" xfId="0" applyNumberFormat="1" applyFont="1" applyAlignment="1">
      <alignment horizontal="right"/>
    </xf>
    <xf numFmtId="0" fontId="5" fillId="20" borderId="0" xfId="0" applyFont="1" applyFill="1"/>
    <xf numFmtId="0" fontId="6" fillId="3" borderId="0" xfId="0" applyFont="1" applyFill="1" applyAlignment="1">
      <alignment horizontal="center"/>
    </xf>
    <xf numFmtId="0" fontId="1" fillId="29" borderId="0" xfId="0" applyFont="1" applyFill="1" applyAlignment="1">
      <alignment horizontal="center"/>
    </xf>
    <xf numFmtId="0" fontId="0" fillId="29" borderId="0" xfId="0" applyFill="1" applyAlignment="1">
      <alignment horizontal="center"/>
    </xf>
    <xf numFmtId="0" fontId="58" fillId="20" borderId="15" xfId="0" applyFont="1" applyFill="1" applyBorder="1" applyAlignment="1">
      <alignment horizontal="center"/>
    </xf>
    <xf numFmtId="0" fontId="59" fillId="12" borderId="0" xfId="0" applyFont="1" applyFill="1"/>
    <xf numFmtId="0" fontId="33" fillId="25" borderId="0" xfId="0" applyFont="1" applyFill="1" applyAlignment="1">
      <alignment horizontal="center"/>
    </xf>
    <xf numFmtId="0" fontId="27" fillId="0" borderId="0" xfId="0" applyFont="1" applyFill="1"/>
    <xf numFmtId="0" fontId="6" fillId="23" borderId="0" xfId="0" applyFont="1" applyFill="1" applyAlignment="1">
      <alignment horizontal="center"/>
    </xf>
    <xf numFmtId="0" fontId="60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1F3864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Growth — YoY vs 3-Year CAGR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1F3864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Charts!$C$7</c:f>
              <c:strCache>
                <c:ptCount val="1"/>
                <c:pt idx="0">
                  <c:v>Rev YoY</c:v>
                </c:pt>
              </c:strCache>
            </c:strRef>
          </c:tx>
          <c:spPr>
            <a:solidFill>
              <a:srgbClr val="1F77B4"/>
            </a:solidFill>
            <a:ln>
              <a:noFill/>
            </a:ln>
            <a:effectLst/>
          </c:spPr>
          <c:invertIfNegative val="0"/>
          <c:cat>
            <c:strRef>
              <c:f>Charts!$B$8:$B$13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Charts!$C$8:$C$13</c:f>
              <c:numCache>
                <c:formatCode>0.0%;\(0.0%\);\-</c:formatCode>
                <c:ptCount val="6"/>
                <c:pt idx="0">
                  <c:v>0.65473535790094783</c:v>
                </c:pt>
                <c:pt idx="1">
                  <c:v>0.35901420959147434</c:v>
                </c:pt>
                <c:pt idx="2">
                  <c:v>0.27685414014328869</c:v>
                </c:pt>
                <c:pt idx="3">
                  <c:v>0.29845666035387564</c:v>
                </c:pt>
                <c:pt idx="4">
                  <c:v>0.56183390932215471</c:v>
                </c:pt>
                <c:pt idx="5">
                  <c:v>0.22605027902611741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C7-434F-93D1-BACD410473EB}"/>
            </c:ext>
          </c:extLst>
        </c:ser>
        <c:ser>
          <c:idx val="1"/>
          <c:order val="1"/>
          <c:tx>
            <c:strRef>
              <c:f>Charts!$D$7</c:f>
              <c:strCache>
                <c:ptCount val="1"/>
                <c:pt idx="0">
                  <c:v>Rev 3Y CAGR</c:v>
                </c:pt>
              </c:strCache>
            </c:strRef>
          </c:tx>
          <c:spPr>
            <a:solidFill>
              <a:srgbClr val="FF7F0E"/>
            </a:solidFill>
            <a:ln>
              <a:noFill/>
            </a:ln>
            <a:effectLst/>
          </c:spPr>
          <c:invertIfNegative val="0"/>
          <c:cat>
            <c:strRef>
              <c:f>Charts!$B$8:$B$13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Charts!$D$8:$D$13</c:f>
              <c:numCache>
                <c:formatCode>0.0%;\(0.0%\);\-</c:formatCode>
                <c:ptCount val="6"/>
                <c:pt idx="0">
                  <c:v>1.0004509499443963</c:v>
                </c:pt>
                <c:pt idx="1">
                  <c:v>0.17284787229042031</c:v>
                </c:pt>
                <c:pt idx="2">
                  <c:v>0.21585434016498239</c:v>
                </c:pt>
                <c:pt idx="3">
                  <c:v>0.30510334305337783</c:v>
                </c:pt>
                <c:pt idx="4">
                  <c:v>0.32917125287657845</c:v>
                </c:pt>
                <c:pt idx="5">
                  <c:v>0.24199215140447738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C7-434F-93D1-BACD41047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35583055"/>
        <c:axId val="1435584015"/>
      </c:barChart>
      <c:catAx>
        <c:axId val="1435583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5584015"/>
        <c:crosses val="autoZero"/>
        <c:auto val="1"/>
        <c:lblAlgn val="ctr"/>
        <c:lblOffset val="100"/>
        <c:noMultiLvlLbl val="0"/>
      </c:catAx>
      <c:valAx>
        <c:axId val="1435584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5583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1F3864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Margin Profile — Gross / EBITDA / FCF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1F3864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Charts!$C$27</c:f>
              <c:strCache>
                <c:ptCount val="1"/>
                <c:pt idx="0">
                  <c:v>Gross Margin</c:v>
                </c:pt>
              </c:strCache>
            </c:strRef>
          </c:tx>
          <c:spPr>
            <a:solidFill>
              <a:srgbClr val="2E75B6"/>
            </a:solidFill>
            <a:ln>
              <a:noFill/>
            </a:ln>
            <a:effectLst/>
          </c:spPr>
          <c:invertIfNegative val="0"/>
          <c:cat>
            <c:strRef>
              <c:f>Charts!$B$28:$B$33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Charts!$C$28:$C$33</c:f>
              <c:numCache>
                <c:formatCode>0.0%;\(0.0%\);\-</c:formatCode>
                <c:ptCount val="6"/>
                <c:pt idx="0">
                  <c:v>0.71068084357547079</c:v>
                </c:pt>
                <c:pt idx="1">
                  <c:v>0.5989952622120569</c:v>
                </c:pt>
                <c:pt idx="2">
                  <c:v>0.36317070548099201</c:v>
                </c:pt>
                <c:pt idx="3">
                  <c:v>0.74513788915452794</c:v>
                </c:pt>
                <c:pt idx="4">
                  <c:v>0.8236651721415027</c:v>
                </c:pt>
                <c:pt idx="5">
                  <c:v>0.71951219512195119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89-4D4D-ACE6-C8E1FEC7404D}"/>
            </c:ext>
          </c:extLst>
        </c:ser>
        <c:ser>
          <c:idx val="1"/>
          <c:order val="1"/>
          <c:tx>
            <c:strRef>
              <c:f>Charts!$D$27</c:f>
              <c:strCache>
                <c:ptCount val="1"/>
                <c:pt idx="0">
                  <c:v>EBITDA Margin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cat>
            <c:strRef>
              <c:f>Charts!$B$28:$B$33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Charts!$D$28:$D$33</c:f>
              <c:numCache>
                <c:formatCode>0.0%;\(0.0%\);\-</c:formatCode>
                <c:ptCount val="6"/>
                <c:pt idx="0">
                  <c:v>0.61698265242801176</c:v>
                </c:pt>
                <c:pt idx="1">
                  <c:v>0.61010455807874531</c:v>
                </c:pt>
                <c:pt idx="2">
                  <c:v>0.20902452614395059</c:v>
                </c:pt>
                <c:pt idx="3">
                  <c:v>-8.055123373050057E-3</c:v>
                </c:pt>
                <c:pt idx="4">
                  <c:v>0.32179139241094634</c:v>
                </c:pt>
                <c:pt idx="5">
                  <c:v>-5.0203252032520324E-2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89-4D4D-ACE6-C8E1FEC7404D}"/>
            </c:ext>
          </c:extLst>
        </c:ser>
        <c:ser>
          <c:idx val="2"/>
          <c:order val="2"/>
          <c:tx>
            <c:strRef>
              <c:f>Charts!$E$27</c:f>
              <c:strCache>
                <c:ptCount val="1"/>
                <c:pt idx="0">
                  <c:v>FCF Margin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Charts!$B$28:$B$33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Charts!$E$28:$E$33</c:f>
              <c:numCache>
                <c:formatCode>0.0%;\(0.0%\);\-</c:formatCode>
                <c:ptCount val="6"/>
                <c:pt idx="0">
                  <c:v>0.44770258129648327</c:v>
                </c:pt>
                <c:pt idx="1">
                  <c:v>0.37412187551053749</c:v>
                </c:pt>
                <c:pt idx="2">
                  <c:v>0.18512399925707976</c:v>
                </c:pt>
                <c:pt idx="3">
                  <c:v>0.13261317095469105</c:v>
                </c:pt>
                <c:pt idx="4">
                  <c:v>0.4693590314797676</c:v>
                </c:pt>
                <c:pt idx="5">
                  <c:v>0.1402439024390244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89-4D4D-ACE6-C8E1FEC74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26775519"/>
        <c:axId val="2026777919"/>
      </c:barChart>
      <c:catAx>
        <c:axId val="20267755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6777919"/>
        <c:crosses val="autoZero"/>
        <c:auto val="1"/>
        <c:lblAlgn val="ctr"/>
        <c:lblOffset val="100"/>
        <c:noMultiLvlLbl val="0"/>
      </c:catAx>
      <c:valAx>
        <c:axId val="20267779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6775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1F3864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Valuation vs Growth — Bubble = Market Cap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1F3864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ubbleChart>
        <c:varyColors val="0"/>
        <c:ser>
          <c:idx val="0"/>
          <c:order val="0"/>
          <c:spPr>
            <a:solidFill>
              <a:schemeClr val="accent1">
                <a:alpha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Charts!$C$48:$C$53</c:f>
              <c:numCache>
                <c:formatCode>0.0%;\(0.0%\);\-</c:formatCode>
                <c:ptCount val="6"/>
                <c:pt idx="0">
                  <c:v>0.65473535790094783</c:v>
                </c:pt>
                <c:pt idx="1">
                  <c:v>0.35901420959147434</c:v>
                </c:pt>
                <c:pt idx="2">
                  <c:v>0.27685414014328869</c:v>
                </c:pt>
                <c:pt idx="3">
                  <c:v>0.29845666035387564</c:v>
                </c:pt>
                <c:pt idx="4">
                  <c:v>0.56183390932215471</c:v>
                </c:pt>
                <c:pt idx="5">
                  <c:v>0.22605027902611741</c:v>
                </c:pt>
              </c:numCache>
            </c:numRef>
          </c:xVal>
          <c:yVal>
            <c:numRef>
              <c:f>Charts!$D$48:$D$53</c:f>
              <c:numCache>
                <c:formatCode>0.0\x;\(0.0\x\);\-</c:formatCode>
                <c:ptCount val="6"/>
                <c:pt idx="0">
                  <c:v>24.318152432642705</c:v>
                </c:pt>
                <c:pt idx="1">
                  <c:v>16.677604639764745</c:v>
                </c:pt>
                <c:pt idx="2">
                  <c:v>12.622139219347208</c:v>
                </c:pt>
                <c:pt idx="3">
                  <c:v>35.2172372029261</c:v>
                </c:pt>
                <c:pt idx="4">
                  <c:v>78.572552009341649</c:v>
                </c:pt>
                <c:pt idx="5">
                  <c:v>11.268392276422764</c:v>
                </c:pt>
              </c:numCache>
            </c:numRef>
          </c:yVal>
          <c:bubbleSize>
            <c:numRef>
              <c:f>Charts!$E$48:$E$53</c:f>
              <c:numCache>
                <c:formatCode>"$"#,##0;\("$"#,##0\);\-</c:formatCode>
                <c:ptCount val="6"/>
                <c:pt idx="0">
                  <c:v>5253350.2</c:v>
                </c:pt>
                <c:pt idx="1">
                  <c:v>2100672.36</c:v>
                </c:pt>
                <c:pt idx="2">
                  <c:v>127938.62199999999</c:v>
                </c:pt>
                <c:pt idx="3">
                  <c:v>75318.167569999991</c:v>
                </c:pt>
                <c:pt idx="4">
                  <c:v>353071.00959999999</c:v>
                </c:pt>
                <c:pt idx="5">
                  <c:v>28210.244999999999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1095-4003-B1D0-24F8736535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1443468815"/>
        <c:axId val="1443457295"/>
      </c:bubbleChart>
      <c:valAx>
        <c:axId val="1443468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Revenue YoY Growth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3457295"/>
        <c:crosses val="autoZero"/>
        <c:crossBetween val="midCat"/>
      </c:valAx>
      <c:valAx>
        <c:axId val="1443457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EV / Revenue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\x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3468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1F3864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Weighted Composite Score (lower = better)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1F3864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Charts!$C$67</c:f>
              <c:strCache>
                <c:ptCount val="1"/>
                <c:pt idx="0">
                  <c:v>Composite Score</c:v>
                </c:pt>
              </c:strCache>
            </c:strRef>
          </c:tx>
          <c:spPr>
            <a:solidFill>
              <a:srgbClr val="1F3864"/>
            </a:solidFill>
            <a:ln>
              <a:noFill/>
            </a:ln>
            <a:effectLst/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Charts!$B$68:$B$73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Charts!$C$68:$C$73</c:f>
              <c:numCache>
                <c:formatCode>0.00</c:formatCode>
                <c:ptCount val="6"/>
                <c:pt idx="0">
                  <c:v>2.125</c:v>
                </c:pt>
                <c:pt idx="1">
                  <c:v>3</c:v>
                </c:pt>
                <c:pt idx="2">
                  <c:v>4</c:v>
                </c:pt>
                <c:pt idx="3">
                  <c:v>4.625</c:v>
                </c:pt>
                <c:pt idx="4">
                  <c:v>3.25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5-43B8-AC9F-B096DC888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43468815"/>
        <c:axId val="1443455855"/>
      </c:barChart>
      <c:catAx>
        <c:axId val="14434688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3455855"/>
        <c:crosses val="autoZero"/>
        <c:auto val="1"/>
        <c:lblAlgn val="ctr"/>
        <c:lblOffset val="100"/>
        <c:noMultiLvlLbl val="0"/>
      </c:catAx>
      <c:valAx>
        <c:axId val="14434558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34688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1F3864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Enterprise Value by Stack Layer ($mm)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1F3864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Charts!$C$87</c:f>
              <c:strCache>
                <c:ptCount val="1"/>
                <c:pt idx="0">
                  <c:v>EV ($mm)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Charts!$B$88:$B$93</c:f>
              <c:strCache>
                <c:ptCount val="6"/>
                <c:pt idx="0">
                  <c:v>Chips / Compute (NVDA)</c:v>
                </c:pt>
                <c:pt idx="1">
                  <c:v>Foundry / Mfg (TSM)</c:v>
                </c:pt>
                <c:pt idx="2">
                  <c:v>Power / Cooling (VRT)</c:v>
                </c:pt>
                <c:pt idx="3">
                  <c:v>Edge / Networking (NET)</c:v>
                </c:pt>
                <c:pt idx="4">
                  <c:v>Data / Enterprise (PLTR)</c:v>
                </c:pt>
                <c:pt idx="5">
                  <c:v>Data Infra (MDB)</c:v>
                </c:pt>
              </c:strCache>
            </c:strRef>
          </c:cat>
          <c:val>
            <c:numRef>
              <c:f>Charts!$C$88:$C$93</c:f>
              <c:numCache>
                <c:formatCode>"$"#,##0;\("$"#,##0\);\-</c:formatCode>
                <c:ptCount val="6"/>
                <c:pt idx="0">
                  <c:v>5251213.2</c:v>
                </c:pt>
                <c:pt idx="1">
                  <c:v>2041672.3599999999</c:v>
                </c:pt>
                <c:pt idx="2">
                  <c:v>129123.22199999999</c:v>
                </c:pt>
                <c:pt idx="3">
                  <c:v>76348.751569999993</c:v>
                </c:pt>
                <c:pt idx="4">
                  <c:v>351647.21360000002</c:v>
                </c:pt>
                <c:pt idx="5">
                  <c:v>27720.244999999999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68-4E76-A8A3-FDF30765E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32638655"/>
        <c:axId val="2032643935"/>
      </c:barChart>
      <c:catAx>
        <c:axId val="20326386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643935"/>
        <c:crosses val="autoZero"/>
        <c:auto val="1"/>
        <c:lblAlgn val="ctr"/>
        <c:lblOffset val="100"/>
        <c:noMultiLvlLbl val="0"/>
      </c:catAx>
      <c:valAx>
        <c:axId val="20326439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638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1F3864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AI Capex -30% Stress Test — EV/EBITDA Impact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1F3864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Charts!$C$107</c:f>
              <c:strCache>
                <c:ptCount val="1"/>
                <c:pt idx="0">
                  <c:v>Current EV/EBITDA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dLbls>
            <c:numFmt formatCode="0.0\x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Charts!$B$108:$B$111</c:f>
              <c:strCache>
                <c:ptCount val="4"/>
                <c:pt idx="0">
                  <c:v>NVIDIA</c:v>
                </c:pt>
                <c:pt idx="1">
                  <c:v>Taiwan Semi</c:v>
                </c:pt>
                <c:pt idx="2">
                  <c:v>Vertiv</c:v>
                </c:pt>
                <c:pt idx="3">
                  <c:v>Palantir</c:v>
                </c:pt>
              </c:strCache>
            </c:strRef>
          </c:cat>
          <c:val>
            <c:numRef>
              <c:f>Charts!$C$108:$C$111</c:f>
              <c:numCache>
                <c:formatCode>0.0\x;\(0.0\x\);\-</c:formatCode>
                <c:ptCount val="4"/>
                <c:pt idx="0">
                  <c:v>39.414645350146365</c:v>
                </c:pt>
                <c:pt idx="1">
                  <c:v>27.335649961841767</c:v>
                </c:pt>
                <c:pt idx="2">
                  <c:v>60.385924332413595</c:v>
                </c:pt>
                <c:pt idx="3">
                  <c:v>244.17232363070769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6E-43AA-B7B1-E667878650A7}"/>
            </c:ext>
          </c:extLst>
        </c:ser>
        <c:ser>
          <c:idx val="1"/>
          <c:order val="1"/>
          <c:tx>
            <c:strRef>
              <c:f>Charts!$D$107</c:f>
              <c:strCache>
                <c:ptCount val="1"/>
                <c:pt idx="0">
                  <c:v>Stressed EV/EBITDA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\x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Charts!$B$108:$B$111</c:f>
              <c:strCache>
                <c:ptCount val="4"/>
                <c:pt idx="0">
                  <c:v>NVIDIA</c:v>
                </c:pt>
                <c:pt idx="1">
                  <c:v>Taiwan Semi</c:v>
                </c:pt>
                <c:pt idx="2">
                  <c:v>Vertiv</c:v>
                </c:pt>
                <c:pt idx="3">
                  <c:v>Palantir</c:v>
                </c:pt>
              </c:strCache>
            </c:strRef>
          </c:cat>
          <c:val>
            <c:numRef>
              <c:f>Charts!$D$108:$D$111</c:f>
              <c:numCache>
                <c:formatCode>0.0\x;\(0.0\x\);\-</c:formatCode>
                <c:ptCount val="4"/>
                <c:pt idx="0">
                  <c:v>66.686357900354338</c:v>
                </c:pt>
                <c:pt idx="1">
                  <c:v>36.667060754157013</c:v>
                </c:pt>
                <c:pt idx="2">
                  <c:v>153.59254215477475</c:v>
                </c:pt>
                <c:pt idx="3">
                  <c:v>341.06159907484044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6E-43AA-B7B1-E66787865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2644415"/>
        <c:axId val="2032645855"/>
      </c:barChart>
      <c:catAx>
        <c:axId val="2032644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645855"/>
        <c:crosses val="autoZero"/>
        <c:auto val="1"/>
        <c:lblAlgn val="ctr"/>
        <c:lblOffset val="100"/>
        <c:noMultiLvlLbl val="0"/>
      </c:catAx>
      <c:valAx>
        <c:axId val="2032645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x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6444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1F3864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Cost Structure — OpEx Mix as % of Revenue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1F3864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Charts!$C$127</c:f>
              <c:strCache>
                <c:ptCount val="1"/>
                <c:pt idx="0">
                  <c:v>R&amp;D %</c:v>
                </c:pt>
              </c:strCache>
            </c:strRef>
          </c:tx>
          <c:spPr>
            <a:solidFill>
              <a:srgbClr val="1F3864"/>
            </a:solidFill>
            <a:ln>
              <a:noFill/>
            </a:ln>
            <a:effectLst/>
          </c:spPr>
          <c:invertIfNegative val="0"/>
          <c:cat>
            <c:strRef>
              <c:f>Charts!$B$128:$B$133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Charts!$C$128:$C$133</c:f>
              <c:numCache>
                <c:formatCode>0.0%;\(0.0%\);\-</c:formatCode>
                <c:ptCount val="6"/>
                <c:pt idx="0">
                  <c:v>8.2958997490020281E-2</c:v>
                </c:pt>
                <c:pt idx="1">
                  <c:v>6.2898219245221362E-2</c:v>
                </c:pt>
                <c:pt idx="2">
                  <c:v>4.5943753115866237E-2</c:v>
                </c:pt>
                <c:pt idx="3">
                  <c:v>0.2942889945602663</c:v>
                </c:pt>
                <c:pt idx="4">
                  <c:v>0.1367461477582346</c:v>
                </c:pt>
                <c:pt idx="5">
                  <c:v>0.3048780487804878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A4-4463-B032-6A996F89280B}"/>
            </c:ext>
          </c:extLst>
        </c:ser>
        <c:ser>
          <c:idx val="1"/>
          <c:order val="1"/>
          <c:tx>
            <c:strRef>
              <c:f>Charts!$D$127</c:f>
              <c:strCache>
                <c:ptCount val="1"/>
                <c:pt idx="0">
                  <c:v>S&amp;M %</c:v>
                </c:pt>
              </c:strCache>
            </c:strRef>
          </c:tx>
          <c:spPr>
            <a:solidFill>
              <a:srgbClr val="2E75B6"/>
            </a:solidFill>
            <a:ln>
              <a:noFill/>
            </a:ln>
            <a:effectLst/>
          </c:spPr>
          <c:invertIfNegative val="0"/>
          <c:cat>
            <c:strRef>
              <c:f>Charts!$B$128:$B$133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Charts!$D$128:$D$133</c:f>
              <c:numCache>
                <c:formatCode>0.0%;\(0.0%\);\-</c:formatCode>
                <c:ptCount val="6"/>
                <c:pt idx="0">
                  <c:v>0</c:v>
                </c:pt>
                <c:pt idx="1">
                  <c:v>2.2055219735337365E-3</c:v>
                </c:pt>
                <c:pt idx="2">
                  <c:v>0.10557287950028837</c:v>
                </c:pt>
                <c:pt idx="3">
                  <c:v>0.31827493142097768</c:v>
                </c:pt>
                <c:pt idx="4">
                  <c:v>0.17093268469779324</c:v>
                </c:pt>
                <c:pt idx="5">
                  <c:v>0.33739837398373984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A4-4463-B032-6A996F89280B}"/>
            </c:ext>
          </c:extLst>
        </c:ser>
        <c:ser>
          <c:idx val="2"/>
          <c:order val="2"/>
          <c:tx>
            <c:strRef>
              <c:f>Charts!$E$127</c:f>
              <c:strCache>
                <c:ptCount val="1"/>
                <c:pt idx="0">
                  <c:v>G&amp;A %</c:v>
                </c:pt>
              </c:strCache>
            </c:strRef>
          </c:tx>
          <c:spPr>
            <a:solidFill>
              <a:srgbClr val="9DC3E6"/>
            </a:solidFill>
            <a:ln>
              <a:noFill/>
            </a:ln>
            <a:effectLst/>
          </c:spPr>
          <c:invertIfNegative val="0"/>
          <c:cat>
            <c:strRef>
              <c:f>Charts!$B$128:$B$133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Charts!$E$128:$E$133</c:f>
              <c:numCache>
                <c:formatCode>0.0%;\(0.0%\);\-</c:formatCode>
                <c:ptCount val="6"/>
                <c:pt idx="0">
                  <c:v>2.390500977132325E-2</c:v>
                </c:pt>
                <c:pt idx="1">
                  <c:v>2.3688939715732722E-2</c:v>
                </c:pt>
                <c:pt idx="2">
                  <c:v>8.5044819597454524E-2</c:v>
                </c:pt>
                <c:pt idx="3">
                  <c:v>0.12454236446907821</c:v>
                </c:pt>
                <c:pt idx="4">
                  <c:v>0.19998006902552282</c:v>
                </c:pt>
                <c:pt idx="5">
                  <c:v>0.11788617886178862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A4-4463-B032-6A996F89280B}"/>
            </c:ext>
          </c:extLst>
        </c:ser>
        <c:ser>
          <c:idx val="3"/>
          <c:order val="3"/>
          <c:tx>
            <c:strRef>
              <c:f>Charts!$F$127</c:f>
              <c:strCache>
                <c:ptCount val="1"/>
                <c:pt idx="0">
                  <c:v>Other %</c:v>
                </c:pt>
              </c:strCache>
            </c:strRef>
          </c:tx>
          <c:spPr>
            <a:solidFill>
              <a:srgbClr val="BDD7EE"/>
            </a:solidFill>
            <a:ln>
              <a:noFill/>
            </a:ln>
            <a:effectLst/>
          </c:spPr>
          <c:invertIfNegative val="0"/>
          <c:cat>
            <c:strRef>
              <c:f>Charts!$B$128:$B$133</c:f>
              <c:strCache>
                <c:ptCount val="6"/>
                <c:pt idx="0">
                  <c:v>NVDA</c:v>
                </c:pt>
                <c:pt idx="1">
                  <c:v>TSM</c:v>
                </c:pt>
                <c:pt idx="2">
                  <c:v>VRT</c:v>
                </c:pt>
                <c:pt idx="3">
                  <c:v>NET</c:v>
                </c:pt>
                <c:pt idx="4">
                  <c:v>PLTR</c:v>
                </c:pt>
                <c:pt idx="5">
                  <c:v>MDB</c:v>
                </c:pt>
              </c:strCache>
            </c:strRef>
          </c:cat>
          <c:val>
            <c:numRef>
              <c:f>Charts!$F$128:$F$133</c:f>
              <c:numCache>
                <c:formatCode>0.0%;\(0.0%\);\-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1.7595479916714729E-2</c:v>
                </c:pt>
                <c:pt idx="3">
                  <c:v>4.6126801655214156E-2</c:v>
                </c:pt>
                <c:pt idx="4">
                  <c:v>0</c:v>
                </c:pt>
                <c:pt idx="5">
                  <c:v>1.4227642276422764E-2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A4-4463-B032-6A996F892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20948336"/>
        <c:axId val="1020946896"/>
      </c:barChart>
      <c:catAx>
        <c:axId val="1020948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0946896"/>
        <c:crosses val="autoZero"/>
        <c:auto val="1"/>
        <c:lblAlgn val="ctr"/>
        <c:lblOffset val="100"/>
        <c:noMultiLvlLbl val="0"/>
      </c:catAx>
      <c:valAx>
        <c:axId val="1020946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094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663AAC-DD88-CC66-DC14-5E2DDA4426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23</xdr:row>
      <xdr:rowOff>171450</xdr:rowOff>
    </xdr:from>
    <xdr:to>
      <xdr:col>14</xdr:col>
      <xdr:colOff>9525</xdr:colOff>
      <xdr:row>42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0F19DC-43CB-8C13-5F21-DD62C140F9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19050</xdr:colOff>
      <xdr:row>44</xdr:row>
      <xdr:rowOff>0</xdr:rowOff>
    </xdr:from>
    <xdr:to>
      <xdr:col>14</xdr:col>
      <xdr:colOff>19050</xdr:colOff>
      <xdr:row>63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4C47158-84DA-7AF3-4E35-575DD11271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</xdr:colOff>
      <xdr:row>64</xdr:row>
      <xdr:rowOff>19050</xdr:rowOff>
    </xdr:from>
    <xdr:to>
      <xdr:col>12</xdr:col>
      <xdr:colOff>171450</xdr:colOff>
      <xdr:row>83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ECAB62C-1771-CA6A-8D32-EEBDEE1231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0</xdr:colOff>
      <xdr:row>84</xdr:row>
      <xdr:rowOff>0</xdr:rowOff>
    </xdr:from>
    <xdr:to>
      <xdr:col>14</xdr:col>
      <xdr:colOff>0</xdr:colOff>
      <xdr:row>103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9D3A9D2-175E-1351-6005-AC9A8D1509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0</xdr:colOff>
      <xdr:row>104</xdr:row>
      <xdr:rowOff>0</xdr:rowOff>
    </xdr:from>
    <xdr:to>
      <xdr:col>14</xdr:col>
      <xdr:colOff>0</xdr:colOff>
      <xdr:row>123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1A49CAE-2A2D-2132-45DB-0415D008FA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0</xdr:colOff>
      <xdr:row>124</xdr:row>
      <xdr:rowOff>0</xdr:rowOff>
    </xdr:from>
    <xdr:to>
      <xdr:col>14</xdr:col>
      <xdr:colOff>0</xdr:colOff>
      <xdr:row>143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127EA4A-1F57-F2AB-A5D5-9896ABD4C0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  <wetp:taskpane dockstate="right" visibility="0" width="350" row="1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C0B7D265-EF0F-44A0-8166-7FDD41FD757B}">
  <we:reference id="wa200010725" version="1.0.0.1" store="en-US" storeType="OMEX"/>
  <we:alternateReferences>
    <we:reference id="WA200010725" version="1.0.0.1" store="" storeType="OMEX"/>
  </we:alternateReferences>
  <we:properties>
    <we:property name="claude.fileId" value="&quot;f864c097-ebcf-4a07-946b-8c7027e5c6f1&quot;"/>
  </we:properties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01A88680-9810-4DDB-A689-BC781ED5E9C7}">
  <we:reference id="wa200009404" version="1.0.0.5" store="en-US" storeType="OMEX"/>
  <we:alternateReferences>
    <we:reference id="WA200009404" version="1.0.0.5" store="" storeType="OMEX"/>
  </we:alternateReferences>
  <we:properties>
    <we:property name="claude.fileId" value="&quot;9367417b-f7b0-4f63-a4cf-87625ec4c092&quot;"/>
  </we:properties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FE92D-3690-4E78-B98D-D01D77211D12}">
  <dimension ref="B2:D22"/>
  <sheetViews>
    <sheetView workbookViewId="0">
      <selection activeCell="C29" sqref="C29"/>
    </sheetView>
  </sheetViews>
  <sheetFormatPr defaultRowHeight="15" x14ac:dyDescent="0.25"/>
  <cols>
    <col min="2" max="4" width="26.7109375" customWidth="1"/>
  </cols>
  <sheetData>
    <row r="2" spans="2:4" ht="24" x14ac:dyDescent="0.4">
      <c r="B2" s="1" t="s">
        <v>0</v>
      </c>
    </row>
    <row r="3" spans="2:4" x14ac:dyDescent="0.25">
      <c r="B3" s="2" t="s">
        <v>1</v>
      </c>
    </row>
    <row r="5" spans="2:4" ht="15.75" x14ac:dyDescent="0.25">
      <c r="B5" s="3" t="s">
        <v>2</v>
      </c>
      <c r="C5" s="3" t="s">
        <v>3</v>
      </c>
      <c r="D5" s="3" t="s">
        <v>4</v>
      </c>
    </row>
    <row r="6" spans="2:4" x14ac:dyDescent="0.25">
      <c r="B6" s="4" t="s">
        <v>5</v>
      </c>
      <c r="C6" t="s">
        <v>6</v>
      </c>
      <c r="D6" t="s">
        <v>7</v>
      </c>
    </row>
    <row r="7" spans="2:4" x14ac:dyDescent="0.25">
      <c r="B7" s="4" t="s">
        <v>8</v>
      </c>
      <c r="C7" t="s">
        <v>9</v>
      </c>
      <c r="D7" t="s">
        <v>10</v>
      </c>
    </row>
    <row r="8" spans="2:4" x14ac:dyDescent="0.25">
      <c r="B8" s="4" t="s">
        <v>11</v>
      </c>
      <c r="C8" t="s">
        <v>12</v>
      </c>
      <c r="D8" t="s">
        <v>13</v>
      </c>
    </row>
    <row r="9" spans="2:4" x14ac:dyDescent="0.25">
      <c r="B9" s="4" t="s">
        <v>14</v>
      </c>
      <c r="C9" t="s">
        <v>15</v>
      </c>
      <c r="D9" t="s">
        <v>16</v>
      </c>
    </row>
    <row r="10" spans="2:4" x14ac:dyDescent="0.25">
      <c r="B10" s="4" t="s">
        <v>17</v>
      </c>
      <c r="C10" t="s">
        <v>18</v>
      </c>
      <c r="D10" t="s">
        <v>19</v>
      </c>
    </row>
    <row r="11" spans="2:4" x14ac:dyDescent="0.25">
      <c r="B11" s="4" t="s">
        <v>20</v>
      </c>
      <c r="C11" t="s">
        <v>21</v>
      </c>
      <c r="D11" t="s">
        <v>22</v>
      </c>
    </row>
    <row r="13" spans="2:4" ht="15.75" x14ac:dyDescent="0.25">
      <c r="B13" s="3" t="s">
        <v>23</v>
      </c>
    </row>
    <row r="14" spans="2:4" x14ac:dyDescent="0.25">
      <c r="B14" s="5" t="s">
        <v>24</v>
      </c>
      <c r="C14" t="s">
        <v>25</v>
      </c>
    </row>
    <row r="15" spans="2:4" x14ac:dyDescent="0.25">
      <c r="B15" s="6" t="s">
        <v>26</v>
      </c>
      <c r="C15" t="s">
        <v>27</v>
      </c>
    </row>
    <row r="16" spans="2:4" x14ac:dyDescent="0.25">
      <c r="B16" s="7" t="s">
        <v>28</v>
      </c>
      <c r="C16" t="s">
        <v>29</v>
      </c>
    </row>
    <row r="17" spans="2:3" x14ac:dyDescent="0.25">
      <c r="B17" s="8" t="s">
        <v>30</v>
      </c>
      <c r="C17" t="s">
        <v>31</v>
      </c>
    </row>
    <row r="19" spans="2:3" ht="15.75" x14ac:dyDescent="0.25">
      <c r="B19" s="3" t="s">
        <v>32</v>
      </c>
    </row>
    <row r="20" spans="2:3" x14ac:dyDescent="0.25">
      <c r="B20" s="2" t="s">
        <v>33</v>
      </c>
    </row>
    <row r="21" spans="2:3" x14ac:dyDescent="0.25">
      <c r="B21" s="2" t="s">
        <v>34</v>
      </c>
    </row>
    <row r="22" spans="2:3" x14ac:dyDescent="0.25">
      <c r="B22" s="2" t="s"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9E1E5-D780-4641-B3FC-EEF7D893AA8D}">
  <dimension ref="A1:Z178"/>
  <sheetViews>
    <sheetView topLeftCell="A3" workbookViewId="0">
      <selection activeCell="H159" sqref="H159"/>
    </sheetView>
  </sheetViews>
  <sheetFormatPr defaultRowHeight="15" x14ac:dyDescent="0.25"/>
  <cols>
    <col min="1" max="1" width="5.7109375" customWidth="1"/>
    <col min="2" max="3" width="34.28515625" customWidth="1"/>
    <col min="4" max="8" width="17.140625" customWidth="1"/>
    <col min="10" max="11" width="17.140625" customWidth="1"/>
    <col min="12" max="13" width="21" customWidth="1"/>
    <col min="14" max="14" width="17.140625" customWidth="1"/>
    <col min="15" max="16" width="21" customWidth="1"/>
    <col min="17" max="17" width="32.42578125" customWidth="1"/>
    <col min="19" max="19" width="45.7109375" customWidth="1"/>
    <col min="20" max="20" width="11.42578125" customWidth="1"/>
    <col min="21" max="26" width="18.140625" customWidth="1"/>
  </cols>
  <sheetData>
    <row r="1" spans="1:26" ht="15.75" thickBot="1" x14ac:dyDescent="0.3"/>
    <row r="2" spans="1:26" ht="21" x14ac:dyDescent="0.35">
      <c r="B2" s="9" t="s">
        <v>36</v>
      </c>
      <c r="J2" s="190" t="s">
        <v>283</v>
      </c>
      <c r="K2" s="153"/>
      <c r="L2" s="153"/>
      <c r="M2" s="153"/>
      <c r="N2" s="153"/>
      <c r="O2" s="153"/>
      <c r="P2" s="153"/>
      <c r="Q2" s="198"/>
      <c r="S2" s="178" t="s">
        <v>308</v>
      </c>
      <c r="T2" s="92"/>
      <c r="U2" s="92"/>
      <c r="V2" s="92"/>
      <c r="W2" s="92"/>
      <c r="X2" s="92"/>
      <c r="Y2" s="92"/>
    </row>
    <row r="3" spans="1:26" x14ac:dyDescent="0.25">
      <c r="B3" s="10" t="s">
        <v>37</v>
      </c>
      <c r="J3" s="191" t="s">
        <v>284</v>
      </c>
      <c r="Q3" s="199"/>
      <c r="S3" s="72" t="s">
        <v>309</v>
      </c>
    </row>
    <row r="4" spans="1:26" x14ac:dyDescent="0.25">
      <c r="J4" s="192"/>
      <c r="Q4" s="199"/>
    </row>
    <row r="5" spans="1:26" x14ac:dyDescent="0.25">
      <c r="A5" s="70">
        <v>5</v>
      </c>
      <c r="B5" s="11" t="s">
        <v>38</v>
      </c>
      <c r="C5" s="11" t="s">
        <v>39</v>
      </c>
      <c r="J5" s="193" t="s">
        <v>285</v>
      </c>
      <c r="K5" s="179">
        <v>46165</v>
      </c>
      <c r="L5" s="126" t="s">
        <v>286</v>
      </c>
      <c r="M5" s="180" t="s">
        <v>287</v>
      </c>
      <c r="Q5" s="199"/>
      <c r="S5" s="94" t="s">
        <v>250</v>
      </c>
      <c r="T5" s="95" t="s">
        <v>305</v>
      </c>
      <c r="U5" s="95" t="s">
        <v>5</v>
      </c>
      <c r="V5" s="95" t="s">
        <v>8</v>
      </c>
      <c r="W5" s="95" t="s">
        <v>11</v>
      </c>
      <c r="X5" s="95" t="s">
        <v>14</v>
      </c>
      <c r="Y5" s="95" t="s">
        <v>17</v>
      </c>
      <c r="Z5" s="95" t="s">
        <v>20</v>
      </c>
    </row>
    <row r="6" spans="1:26" x14ac:dyDescent="0.25">
      <c r="A6" s="70">
        <v>6</v>
      </c>
      <c r="J6" s="192"/>
      <c r="Q6" s="199"/>
    </row>
    <row r="7" spans="1:26" ht="17.25" x14ac:dyDescent="0.3">
      <c r="A7" s="70">
        <v>7</v>
      </c>
      <c r="B7" s="12" t="s">
        <v>40</v>
      </c>
      <c r="C7" s="13" t="s">
        <v>6</v>
      </c>
      <c r="D7" s="13" t="s">
        <v>41</v>
      </c>
      <c r="J7" s="194" t="s">
        <v>86</v>
      </c>
      <c r="K7" s="95" t="s">
        <v>288</v>
      </c>
      <c r="L7" s="95" t="s">
        <v>289</v>
      </c>
      <c r="M7" s="95" t="s">
        <v>290</v>
      </c>
      <c r="N7" s="95" t="s">
        <v>291</v>
      </c>
      <c r="O7" s="95" t="s">
        <v>292</v>
      </c>
      <c r="P7" s="95" t="s">
        <v>293</v>
      </c>
      <c r="Q7" s="200" t="s">
        <v>294</v>
      </c>
      <c r="S7" s="146" t="s">
        <v>310</v>
      </c>
      <c r="T7" s="224"/>
      <c r="U7" s="224"/>
      <c r="V7" s="224"/>
      <c r="W7" s="224"/>
      <c r="X7" s="224"/>
      <c r="Y7" s="224"/>
      <c r="Z7" s="224"/>
    </row>
    <row r="8" spans="1:26" x14ac:dyDescent="0.25">
      <c r="A8" s="70">
        <v>8</v>
      </c>
      <c r="B8" s="14" t="s">
        <v>42</v>
      </c>
      <c r="C8" s="14" t="s">
        <v>32</v>
      </c>
      <c r="D8" s="15" t="s">
        <v>44</v>
      </c>
      <c r="E8" s="15" t="s">
        <v>45</v>
      </c>
      <c r="F8" s="15" t="s">
        <v>46</v>
      </c>
      <c r="G8" s="15" t="s">
        <v>47</v>
      </c>
      <c r="H8" s="15" t="s">
        <v>78</v>
      </c>
      <c r="J8" s="195" t="s">
        <v>5</v>
      </c>
      <c r="K8" s="15" t="s">
        <v>295</v>
      </c>
      <c r="L8" s="181">
        <v>46138</v>
      </c>
      <c r="M8" s="182">
        <v>81600</v>
      </c>
      <c r="N8" s="99">
        <v>0.85</v>
      </c>
      <c r="O8" s="182">
        <v>253400</v>
      </c>
      <c r="P8" s="183">
        <f>O8-H10</f>
        <v>37462</v>
      </c>
      <c r="Q8" s="201" t="s">
        <v>296</v>
      </c>
      <c r="S8" s="4" t="s">
        <v>311</v>
      </c>
    </row>
    <row r="9" spans="1:26" x14ac:dyDescent="0.25">
      <c r="A9" s="70">
        <v>9</v>
      </c>
      <c r="B9" s="16" t="s">
        <v>48</v>
      </c>
      <c r="J9" s="196" t="s">
        <v>8</v>
      </c>
      <c r="K9" s="184" t="s">
        <v>297</v>
      </c>
      <c r="L9" s="181">
        <v>46112</v>
      </c>
      <c r="M9" s="182">
        <v>35900</v>
      </c>
      <c r="N9" s="99">
        <v>0.40600000000000003</v>
      </c>
      <c r="O9" s="182">
        <v>132600</v>
      </c>
      <c r="P9" s="183">
        <f>O9-H39</f>
        <v>10180</v>
      </c>
      <c r="Q9" s="201" t="s">
        <v>298</v>
      </c>
      <c r="S9" t="s">
        <v>312</v>
      </c>
      <c r="T9" t="s">
        <v>337</v>
      </c>
      <c r="U9" s="36">
        <v>5268</v>
      </c>
      <c r="V9" s="36">
        <v>4500</v>
      </c>
      <c r="W9" s="36">
        <v>250</v>
      </c>
      <c r="X9" s="36">
        <v>197</v>
      </c>
      <c r="Y9" s="36">
        <v>392</v>
      </c>
      <c r="Z9" s="36">
        <v>350</v>
      </c>
    </row>
    <row r="10" spans="1:26" x14ac:dyDescent="0.25">
      <c r="A10" s="70">
        <v>10</v>
      </c>
      <c r="B10" t="s">
        <v>49</v>
      </c>
      <c r="C10" t="s">
        <v>50</v>
      </c>
      <c r="D10" s="17">
        <v>26914</v>
      </c>
      <c r="E10" s="17">
        <v>26974</v>
      </c>
      <c r="F10" s="17">
        <v>60922</v>
      </c>
      <c r="G10" s="17">
        <v>130497</v>
      </c>
      <c r="H10" s="17">
        <v>215938</v>
      </c>
      <c r="J10" s="196" t="s">
        <v>11</v>
      </c>
      <c r="K10" s="184" t="s">
        <v>297</v>
      </c>
      <c r="L10" s="181">
        <v>46112</v>
      </c>
      <c r="M10" s="182">
        <v>2649.5</v>
      </c>
      <c r="N10" s="99">
        <v>0.30130000000000001</v>
      </c>
      <c r="O10" s="182">
        <v>10843</v>
      </c>
      <c r="P10" s="183">
        <f>O10-H68</f>
        <v>613.10000000000036</v>
      </c>
      <c r="Q10" s="201" t="s">
        <v>299</v>
      </c>
      <c r="S10" t="s">
        <v>313</v>
      </c>
      <c r="T10" t="s">
        <v>338</v>
      </c>
      <c r="U10" s="36">
        <v>7339</v>
      </c>
      <c r="V10" s="36">
        <v>5500</v>
      </c>
      <c r="W10" s="36">
        <v>280</v>
      </c>
      <c r="X10" s="36">
        <v>298</v>
      </c>
      <c r="Y10" s="36">
        <v>387</v>
      </c>
      <c r="Z10" s="36">
        <v>446</v>
      </c>
    </row>
    <row r="11" spans="1:26" x14ac:dyDescent="0.25">
      <c r="A11" s="70">
        <v>11</v>
      </c>
      <c r="B11" t="s">
        <v>51</v>
      </c>
      <c r="C11" t="s">
        <v>50</v>
      </c>
      <c r="D11" s="17">
        <v>9439</v>
      </c>
      <c r="E11" s="17">
        <v>11618</v>
      </c>
      <c r="F11" s="17">
        <v>16621</v>
      </c>
      <c r="G11" s="17">
        <v>32639</v>
      </c>
      <c r="H11" s="17">
        <v>62475</v>
      </c>
      <c r="J11" s="196" t="s">
        <v>14</v>
      </c>
      <c r="K11" s="184" t="s">
        <v>297</v>
      </c>
      <c r="L11" s="181">
        <v>46112</v>
      </c>
      <c r="M11" s="182">
        <v>639.79999999999995</v>
      </c>
      <c r="N11" s="99">
        <v>0.34</v>
      </c>
      <c r="O11" s="182">
        <v>2329</v>
      </c>
      <c r="P11" s="183">
        <f>O11-H97</f>
        <v>161.0630000000001</v>
      </c>
      <c r="Q11" s="201" t="s">
        <v>300</v>
      </c>
      <c r="S11" t="s">
        <v>314</v>
      </c>
      <c r="T11" t="s">
        <v>339</v>
      </c>
      <c r="U11" s="36">
        <v>8675</v>
      </c>
      <c r="V11" s="36">
        <v>6000</v>
      </c>
      <c r="W11" s="36">
        <v>350</v>
      </c>
      <c r="X11" s="36">
        <v>421</v>
      </c>
      <c r="Y11" s="36">
        <v>395</v>
      </c>
      <c r="Z11" s="36">
        <v>565</v>
      </c>
    </row>
    <row r="12" spans="1:26" x14ac:dyDescent="0.25">
      <c r="A12" s="70">
        <v>12</v>
      </c>
      <c r="B12" t="s">
        <v>52</v>
      </c>
      <c r="C12" s="2" t="s">
        <v>50</v>
      </c>
      <c r="D12" s="18">
        <f>D10-D11</f>
        <v>17475</v>
      </c>
      <c r="E12" s="18">
        <f t="shared" ref="E12:H12" si="0">E10-E11</f>
        <v>15356</v>
      </c>
      <c r="F12" s="18">
        <f t="shared" si="0"/>
        <v>44301</v>
      </c>
      <c r="G12" s="18">
        <f t="shared" si="0"/>
        <v>97858</v>
      </c>
      <c r="H12" s="18">
        <f t="shared" si="0"/>
        <v>153463</v>
      </c>
      <c r="J12" s="196" t="s">
        <v>17</v>
      </c>
      <c r="K12" s="184" t="s">
        <v>297</v>
      </c>
      <c r="L12" s="181">
        <v>46112</v>
      </c>
      <c r="M12" s="182">
        <v>1626</v>
      </c>
      <c r="N12" s="99">
        <v>0.85</v>
      </c>
      <c r="O12" s="182">
        <v>5217</v>
      </c>
      <c r="P12" s="183">
        <f>O12-H126</f>
        <v>741.55400000000009</v>
      </c>
      <c r="Q12" s="201" t="s">
        <v>301</v>
      </c>
      <c r="S12" t="s">
        <v>315</v>
      </c>
      <c r="T12" t="s">
        <v>340</v>
      </c>
      <c r="U12" s="36">
        <v>12914</v>
      </c>
      <c r="V12" s="36">
        <v>6800</v>
      </c>
      <c r="W12" s="36">
        <v>400</v>
      </c>
      <c r="X12" s="36">
        <v>528</v>
      </c>
      <c r="Y12" s="36">
        <v>508</v>
      </c>
      <c r="Z12" s="36">
        <v>663</v>
      </c>
    </row>
    <row r="13" spans="1:26" ht="15.75" thickBot="1" x14ac:dyDescent="0.3">
      <c r="A13" s="70">
        <v>13</v>
      </c>
      <c r="B13" t="s">
        <v>53</v>
      </c>
      <c r="C13" t="s">
        <v>50</v>
      </c>
      <c r="D13" s="17">
        <v>7434</v>
      </c>
      <c r="E13" s="17">
        <v>11132</v>
      </c>
      <c r="F13" s="17">
        <v>11329</v>
      </c>
      <c r="G13" s="17">
        <v>16405</v>
      </c>
      <c r="H13" s="17">
        <v>23076</v>
      </c>
      <c r="J13" s="197" t="s">
        <v>20</v>
      </c>
      <c r="K13" s="185" t="s">
        <v>302</v>
      </c>
      <c r="L13" s="186">
        <v>46053</v>
      </c>
      <c r="M13" s="187">
        <v>695.1</v>
      </c>
      <c r="N13" s="188">
        <v>0.27</v>
      </c>
      <c r="O13" s="187">
        <v>2460</v>
      </c>
      <c r="P13" s="189">
        <f>O13-H155</f>
        <v>0</v>
      </c>
      <c r="Q13" s="202" t="s">
        <v>303</v>
      </c>
      <c r="S13" s="4" t="s">
        <v>316</v>
      </c>
      <c r="T13" s="4" t="s">
        <v>341</v>
      </c>
      <c r="U13" s="36">
        <v>17914</v>
      </c>
      <c r="V13" s="36">
        <v>7700</v>
      </c>
      <c r="W13" s="36">
        <v>470</v>
      </c>
      <c r="X13" s="36">
        <v>638</v>
      </c>
      <c r="Y13" s="36">
        <v>612</v>
      </c>
      <c r="Z13" s="36">
        <v>750</v>
      </c>
    </row>
    <row r="14" spans="1:26" ht="15.75" thickBot="1" x14ac:dyDescent="0.3">
      <c r="A14" s="70">
        <v>14</v>
      </c>
      <c r="B14" t="s">
        <v>54</v>
      </c>
      <c r="C14" t="s">
        <v>50</v>
      </c>
      <c r="D14" s="17">
        <v>10041</v>
      </c>
      <c r="E14" s="17">
        <v>4224</v>
      </c>
      <c r="F14" s="17">
        <v>32972</v>
      </c>
      <c r="G14" s="17">
        <v>81453</v>
      </c>
      <c r="H14" s="17">
        <v>130387</v>
      </c>
    </row>
    <row r="15" spans="1:26" ht="19.5" thickBot="1" x14ac:dyDescent="0.35">
      <c r="A15" s="70">
        <v>15</v>
      </c>
      <c r="B15" t="s">
        <v>55</v>
      </c>
      <c r="C15" t="s">
        <v>50</v>
      </c>
      <c r="D15" s="17">
        <v>1174</v>
      </c>
      <c r="E15" s="17">
        <v>1544</v>
      </c>
      <c r="F15" s="17">
        <v>1508</v>
      </c>
      <c r="G15" s="17">
        <v>1864</v>
      </c>
      <c r="H15" s="17">
        <v>2843</v>
      </c>
      <c r="J15" s="203" t="s">
        <v>304</v>
      </c>
      <c r="K15" s="204" t="s">
        <v>305</v>
      </c>
      <c r="L15" s="205" t="str">
        <f>IF(UPPER(K15)="LTM","→ Revenue &amp; YoY growth use LTM; EV/Revenue recomputes. Margins, EBITDA, EV/EBITDA, 3Y CAGR remain FY-based.",IF(UPPER(K15)="FY","→ All metrics use fiscal-year data.","⚠ Enter 'FY' or 'LTM' in K15"))</f>
        <v>→ All metrics use fiscal-year data.</v>
      </c>
      <c r="S15" s="4" t="s">
        <v>317</v>
      </c>
    </row>
    <row r="16" spans="1:26" x14ac:dyDescent="0.25">
      <c r="A16" s="70">
        <v>16</v>
      </c>
      <c r="B16" t="s">
        <v>56</v>
      </c>
      <c r="C16" s="2" t="s">
        <v>50</v>
      </c>
      <c r="D16" s="18">
        <f>D14+D15</f>
        <v>11215</v>
      </c>
      <c r="E16" s="18">
        <f t="shared" ref="E16:H16" si="1">E14+E15</f>
        <v>5768</v>
      </c>
      <c r="F16" s="18">
        <f t="shared" si="1"/>
        <v>34480</v>
      </c>
      <c r="G16" s="18">
        <f t="shared" si="1"/>
        <v>83317</v>
      </c>
      <c r="H16" s="18">
        <f t="shared" si="1"/>
        <v>133230</v>
      </c>
      <c r="S16" t="s">
        <v>312</v>
      </c>
      <c r="T16" t="s">
        <v>337</v>
      </c>
      <c r="U16" s="36">
        <v>0</v>
      </c>
      <c r="V16" s="36">
        <v>150</v>
      </c>
      <c r="W16" s="36">
        <v>700</v>
      </c>
      <c r="X16" s="36">
        <v>261</v>
      </c>
      <c r="Y16" s="36">
        <v>525</v>
      </c>
      <c r="Z16" s="36">
        <v>410</v>
      </c>
    </row>
    <row r="17" spans="1:26" x14ac:dyDescent="0.25">
      <c r="A17" s="70">
        <v>17</v>
      </c>
      <c r="B17" t="s">
        <v>57</v>
      </c>
      <c r="C17" t="s">
        <v>50</v>
      </c>
      <c r="D17" s="17">
        <v>9752</v>
      </c>
      <c r="E17" s="17">
        <v>4368</v>
      </c>
      <c r="F17" s="17">
        <v>29760</v>
      </c>
      <c r="G17" s="17">
        <v>72880</v>
      </c>
      <c r="H17" s="17">
        <v>120067</v>
      </c>
      <c r="S17" s="4" t="s">
        <v>313</v>
      </c>
      <c r="T17" t="s">
        <v>338</v>
      </c>
      <c r="U17" s="36">
        <v>0</v>
      </c>
      <c r="V17" s="36">
        <v>175</v>
      </c>
      <c r="W17" s="36">
        <v>780</v>
      </c>
      <c r="X17" s="36">
        <v>385</v>
      </c>
      <c r="Y17" s="36">
        <v>565</v>
      </c>
      <c r="Z17" s="36">
        <v>560</v>
      </c>
    </row>
    <row r="18" spans="1:26" x14ac:dyDescent="0.25">
      <c r="A18" s="70">
        <v>18</v>
      </c>
      <c r="B18" t="s">
        <v>58</v>
      </c>
      <c r="C18" t="s">
        <v>59</v>
      </c>
      <c r="D18" s="19">
        <v>0.38500000000000001</v>
      </c>
      <c r="E18" s="19">
        <v>0.17399999999999999</v>
      </c>
      <c r="F18" s="19">
        <v>1.19</v>
      </c>
      <c r="G18" s="19">
        <v>2.94</v>
      </c>
      <c r="H18" s="19">
        <v>4.9000000000000004</v>
      </c>
      <c r="S18" t="s">
        <v>314</v>
      </c>
      <c r="T18" t="s">
        <v>339</v>
      </c>
      <c r="U18" s="36">
        <v>0</v>
      </c>
      <c r="V18" s="36">
        <v>190</v>
      </c>
      <c r="W18" s="36">
        <v>870</v>
      </c>
      <c r="X18" s="36">
        <v>459</v>
      </c>
      <c r="Y18" s="36">
        <v>575</v>
      </c>
      <c r="Z18" s="36">
        <v>670</v>
      </c>
    </row>
    <row r="19" spans="1:26" x14ac:dyDescent="0.25">
      <c r="A19" s="70">
        <v>19</v>
      </c>
      <c r="S19" s="4" t="s">
        <v>315</v>
      </c>
      <c r="T19" t="s">
        <v>340</v>
      </c>
      <c r="U19" s="36">
        <v>0</v>
      </c>
      <c r="V19" s="36">
        <v>220</v>
      </c>
      <c r="W19" s="36">
        <v>960</v>
      </c>
      <c r="X19" s="36">
        <v>530</v>
      </c>
      <c r="Y19" s="36">
        <v>645</v>
      </c>
      <c r="Z19" s="36">
        <v>750</v>
      </c>
    </row>
    <row r="20" spans="1:26" x14ac:dyDescent="0.25">
      <c r="A20" s="70">
        <v>20</v>
      </c>
      <c r="B20" s="16" t="s">
        <v>60</v>
      </c>
      <c r="S20" s="4" t="s">
        <v>316</v>
      </c>
      <c r="T20" s="4" t="s">
        <v>341</v>
      </c>
      <c r="U20" s="36">
        <v>0</v>
      </c>
      <c r="V20" s="36">
        <v>270</v>
      </c>
      <c r="W20" s="36">
        <v>1080</v>
      </c>
      <c r="X20" s="36">
        <v>690</v>
      </c>
      <c r="Y20" s="36">
        <v>765</v>
      </c>
      <c r="Z20" s="36">
        <v>830</v>
      </c>
    </row>
    <row r="21" spans="1:26" x14ac:dyDescent="0.25">
      <c r="A21" s="70">
        <v>21</v>
      </c>
      <c r="B21" t="s">
        <v>61</v>
      </c>
      <c r="C21" t="s">
        <v>50</v>
      </c>
      <c r="D21" s="17">
        <v>9108</v>
      </c>
      <c r="E21" s="17">
        <v>5641</v>
      </c>
      <c r="F21" s="17">
        <v>28090</v>
      </c>
      <c r="G21" s="17">
        <v>64089</v>
      </c>
      <c r="H21" s="17">
        <v>102718</v>
      </c>
    </row>
    <row r="22" spans="1:26" x14ac:dyDescent="0.25">
      <c r="A22" s="70">
        <v>22</v>
      </c>
      <c r="B22" t="s">
        <v>62</v>
      </c>
      <c r="C22" t="s">
        <v>50</v>
      </c>
      <c r="D22" s="17">
        <v>976</v>
      </c>
      <c r="E22" s="17">
        <v>1833</v>
      </c>
      <c r="F22" s="17">
        <v>1069</v>
      </c>
      <c r="G22" s="17">
        <v>3236</v>
      </c>
      <c r="H22" s="17">
        <v>6042</v>
      </c>
      <c r="S22" s="4" t="s">
        <v>318</v>
      </c>
    </row>
    <row r="23" spans="1:26" x14ac:dyDescent="0.25">
      <c r="A23" s="70">
        <v>23</v>
      </c>
      <c r="B23" t="s">
        <v>63</v>
      </c>
      <c r="C23" s="2" t="s">
        <v>50</v>
      </c>
      <c r="D23" s="18">
        <f>D21-D22</f>
        <v>8132</v>
      </c>
      <c r="E23" s="18">
        <f t="shared" ref="E23:H23" si="2">E21-E22</f>
        <v>3808</v>
      </c>
      <c r="F23" s="18">
        <f t="shared" si="2"/>
        <v>27021</v>
      </c>
      <c r="G23" s="18">
        <f t="shared" si="2"/>
        <v>60853</v>
      </c>
      <c r="H23" s="18">
        <f t="shared" si="2"/>
        <v>96676</v>
      </c>
      <c r="S23" s="4" t="s">
        <v>312</v>
      </c>
      <c r="T23" t="s">
        <v>337</v>
      </c>
      <c r="U23" s="36">
        <v>2166</v>
      </c>
      <c r="V23" s="36">
        <v>1900</v>
      </c>
      <c r="W23" s="36">
        <v>620</v>
      </c>
      <c r="X23" s="36">
        <v>108</v>
      </c>
      <c r="Y23" s="36">
        <v>540</v>
      </c>
      <c r="Z23" s="36">
        <v>145</v>
      </c>
    </row>
    <row r="24" spans="1:26" x14ac:dyDescent="0.25">
      <c r="A24" s="70">
        <v>24</v>
      </c>
      <c r="S24" s="4" t="s">
        <v>313</v>
      </c>
      <c r="T24" t="s">
        <v>338</v>
      </c>
      <c r="U24" s="36">
        <v>2440</v>
      </c>
      <c r="V24" s="36">
        <v>2300</v>
      </c>
      <c r="W24" s="36">
        <v>700</v>
      </c>
      <c r="X24" s="36">
        <v>175</v>
      </c>
      <c r="Y24" s="36">
        <v>575</v>
      </c>
      <c r="Z24" s="36">
        <v>200</v>
      </c>
    </row>
    <row r="25" spans="1:26" x14ac:dyDescent="0.25">
      <c r="A25" s="70">
        <v>25</v>
      </c>
      <c r="B25" s="16" t="s">
        <v>64</v>
      </c>
      <c r="S25" s="4" t="s">
        <v>314</v>
      </c>
      <c r="T25" t="s">
        <v>339</v>
      </c>
      <c r="U25" s="36">
        <v>2654</v>
      </c>
      <c r="V25" s="36">
        <v>2500</v>
      </c>
      <c r="W25" s="36">
        <v>750</v>
      </c>
      <c r="X25" s="36">
        <v>224</v>
      </c>
      <c r="Y25" s="36">
        <v>580</v>
      </c>
      <c r="Z25" s="36">
        <v>230</v>
      </c>
    </row>
    <row r="26" spans="1:26" x14ac:dyDescent="0.25">
      <c r="A26" s="70">
        <v>26</v>
      </c>
      <c r="B26" t="s">
        <v>65</v>
      </c>
      <c r="C26" t="s">
        <v>50</v>
      </c>
      <c r="D26" s="17">
        <v>1990</v>
      </c>
      <c r="E26" s="17">
        <v>3389</v>
      </c>
      <c r="F26" s="17">
        <v>7280</v>
      </c>
      <c r="G26" s="17">
        <v>8589</v>
      </c>
      <c r="H26" s="17">
        <v>10605</v>
      </c>
      <c r="S26" s="4" t="s">
        <v>315</v>
      </c>
      <c r="T26" t="s">
        <v>340</v>
      </c>
      <c r="U26" s="36">
        <v>3491</v>
      </c>
      <c r="V26" s="36">
        <v>2800</v>
      </c>
      <c r="W26" s="36">
        <v>820</v>
      </c>
      <c r="X26" s="36">
        <v>240</v>
      </c>
      <c r="Y26" s="36">
        <v>690</v>
      </c>
      <c r="Z26" s="36">
        <v>245</v>
      </c>
    </row>
    <row r="27" spans="1:26" x14ac:dyDescent="0.25">
      <c r="A27" s="70">
        <v>27</v>
      </c>
      <c r="B27" t="s">
        <v>66</v>
      </c>
      <c r="C27" t="s">
        <v>50</v>
      </c>
      <c r="D27" s="17">
        <v>10946</v>
      </c>
      <c r="E27" s="17">
        <v>10953</v>
      </c>
      <c r="F27" s="17">
        <v>9709</v>
      </c>
      <c r="G27" s="17">
        <v>8463</v>
      </c>
      <c r="H27" s="17">
        <v>8468</v>
      </c>
      <c r="S27" s="4" t="s">
        <v>316</v>
      </c>
      <c r="T27" s="4" t="s">
        <v>341</v>
      </c>
      <c r="U27" s="36">
        <v>5162</v>
      </c>
      <c r="V27" s="36">
        <v>2900</v>
      </c>
      <c r="W27" s="36">
        <v>870</v>
      </c>
      <c r="X27" s="36">
        <v>270</v>
      </c>
      <c r="Y27" s="36">
        <v>895</v>
      </c>
      <c r="Z27" s="36">
        <v>290</v>
      </c>
    </row>
    <row r="28" spans="1:26" x14ac:dyDescent="0.25">
      <c r="A28" s="70">
        <v>28</v>
      </c>
      <c r="B28" t="s">
        <v>67</v>
      </c>
      <c r="C28" t="s">
        <v>68</v>
      </c>
      <c r="D28" s="20">
        <v>25350</v>
      </c>
      <c r="E28" s="20">
        <v>25070</v>
      </c>
      <c r="F28" s="20">
        <v>24940</v>
      </c>
      <c r="G28" s="20">
        <v>24804</v>
      </c>
      <c r="H28" s="20">
        <v>24514</v>
      </c>
    </row>
    <row r="29" spans="1:26" x14ac:dyDescent="0.25">
      <c r="A29" s="70">
        <v>29</v>
      </c>
      <c r="S29" s="4" t="s">
        <v>319</v>
      </c>
    </row>
    <row r="30" spans="1:26" x14ac:dyDescent="0.25">
      <c r="A30" s="70">
        <v>30</v>
      </c>
      <c r="B30" s="16" t="s">
        <v>69</v>
      </c>
      <c r="S30" s="4" t="s">
        <v>312</v>
      </c>
      <c r="T30" t="s">
        <v>337</v>
      </c>
      <c r="U30" s="36">
        <v>2004</v>
      </c>
      <c r="V30" s="36">
        <v>50</v>
      </c>
      <c r="W30" s="36">
        <v>30</v>
      </c>
      <c r="X30" s="36">
        <v>105</v>
      </c>
      <c r="Y30" s="36">
        <v>778</v>
      </c>
      <c r="Z30" s="36">
        <v>245</v>
      </c>
    </row>
    <row r="31" spans="1:26" x14ac:dyDescent="0.25">
      <c r="A31" s="70">
        <v>31</v>
      </c>
      <c r="B31" t="s">
        <v>70</v>
      </c>
      <c r="C31" t="s">
        <v>59</v>
      </c>
      <c r="D31" s="19"/>
      <c r="E31" s="19"/>
      <c r="F31" s="19"/>
      <c r="G31" s="19"/>
      <c r="H31" s="19">
        <v>214.3</v>
      </c>
      <c r="S31" s="4" t="s">
        <v>313</v>
      </c>
      <c r="T31" t="s">
        <v>338</v>
      </c>
      <c r="U31" s="36">
        <v>2709</v>
      </c>
      <c r="V31" s="36">
        <v>60</v>
      </c>
      <c r="W31" s="36">
        <v>45</v>
      </c>
      <c r="X31" s="36">
        <v>180</v>
      </c>
      <c r="Y31" s="36">
        <v>565</v>
      </c>
      <c r="Z31" s="36">
        <v>330</v>
      </c>
    </row>
    <row r="32" spans="1:26" x14ac:dyDescent="0.25">
      <c r="A32" s="70">
        <v>32</v>
      </c>
      <c r="B32" t="s">
        <v>71</v>
      </c>
      <c r="C32" s="2" t="s">
        <v>50</v>
      </c>
      <c r="D32" s="18">
        <f>D31*D28</f>
        <v>0</v>
      </c>
      <c r="E32" s="18">
        <f t="shared" ref="E32:H32" si="3">E31*E28</f>
        <v>0</v>
      </c>
      <c r="F32" s="18">
        <f t="shared" si="3"/>
        <v>0</v>
      </c>
      <c r="G32" s="18">
        <f t="shared" si="3"/>
        <v>0</v>
      </c>
      <c r="H32" s="18">
        <f t="shared" si="3"/>
        <v>5253350.2</v>
      </c>
      <c r="S32" s="4" t="s">
        <v>314</v>
      </c>
      <c r="T32" t="s">
        <v>339</v>
      </c>
      <c r="U32" s="36">
        <v>3549</v>
      </c>
      <c r="V32" s="36">
        <v>70</v>
      </c>
      <c r="W32" s="36">
        <v>60</v>
      </c>
      <c r="X32" s="36">
        <v>226</v>
      </c>
      <c r="Y32" s="36">
        <v>491</v>
      </c>
      <c r="Z32" s="36">
        <v>380</v>
      </c>
    </row>
    <row r="33" spans="1:26" x14ac:dyDescent="0.25">
      <c r="A33" s="70">
        <v>33</v>
      </c>
      <c r="B33" t="s">
        <v>72</v>
      </c>
      <c r="C33" s="2" t="s">
        <v>50</v>
      </c>
      <c r="D33" s="18">
        <f>D32+D27-D26</f>
        <v>8956</v>
      </c>
      <c r="E33" s="18">
        <f t="shared" ref="E33:H33" si="4">E32+E27-E26</f>
        <v>7564</v>
      </c>
      <c r="F33" s="18">
        <f t="shared" si="4"/>
        <v>2429</v>
      </c>
      <c r="G33" s="18">
        <f t="shared" si="4"/>
        <v>-126</v>
      </c>
      <c r="H33" s="18">
        <f t="shared" si="4"/>
        <v>5251213.2</v>
      </c>
      <c r="S33" s="4" t="s">
        <v>315</v>
      </c>
      <c r="T33" t="s">
        <v>340</v>
      </c>
      <c r="U33" s="36">
        <v>4737</v>
      </c>
      <c r="V33" s="36">
        <v>80</v>
      </c>
      <c r="W33" s="36">
        <v>80</v>
      </c>
      <c r="X33" s="36">
        <v>280</v>
      </c>
      <c r="Y33" s="36">
        <v>690</v>
      </c>
      <c r="Z33" s="36">
        <v>410</v>
      </c>
    </row>
    <row r="34" spans="1:26" x14ac:dyDescent="0.25">
      <c r="A34" s="70">
        <v>34</v>
      </c>
      <c r="S34" s="4" t="s">
        <v>316</v>
      </c>
      <c r="T34" s="4" t="s">
        <v>341</v>
      </c>
      <c r="U34" s="36">
        <v>6121</v>
      </c>
      <c r="V34" s="36">
        <v>90</v>
      </c>
      <c r="W34" s="36">
        <v>100</v>
      </c>
      <c r="X34" s="36">
        <v>340</v>
      </c>
      <c r="Y34" s="36">
        <v>950</v>
      </c>
      <c r="Z34" s="36">
        <v>450</v>
      </c>
    </row>
    <row r="35" spans="1:26" x14ac:dyDescent="0.25">
      <c r="A35" s="70">
        <v>35</v>
      </c>
    </row>
    <row r="36" spans="1:26" ht="17.25" x14ac:dyDescent="0.3">
      <c r="A36" s="70">
        <v>36</v>
      </c>
      <c r="B36" s="21" t="s">
        <v>83</v>
      </c>
      <c r="C36" s="22" t="s">
        <v>9</v>
      </c>
      <c r="D36" s="22" t="s">
        <v>73</v>
      </c>
      <c r="S36" s="4" t="s">
        <v>320</v>
      </c>
    </row>
    <row r="37" spans="1:26" x14ac:dyDescent="0.25">
      <c r="A37" s="70">
        <v>37</v>
      </c>
      <c r="B37" s="14" t="s">
        <v>42</v>
      </c>
      <c r="C37" s="14" t="s">
        <v>32</v>
      </c>
      <c r="D37" s="15" t="s">
        <v>116</v>
      </c>
      <c r="E37" s="15" t="s">
        <v>117</v>
      </c>
      <c r="F37" s="15" t="s">
        <v>118</v>
      </c>
      <c r="G37" s="15" t="s">
        <v>119</v>
      </c>
      <c r="H37" s="15" t="s">
        <v>120</v>
      </c>
      <c r="S37" s="4" t="s">
        <v>316</v>
      </c>
      <c r="T37" s="4" t="s">
        <v>341</v>
      </c>
      <c r="U37" s="36">
        <v>0</v>
      </c>
      <c r="V37" s="36">
        <v>0</v>
      </c>
      <c r="W37" s="36">
        <v>180</v>
      </c>
      <c r="X37" s="36">
        <v>100</v>
      </c>
      <c r="Y37" s="36">
        <v>0</v>
      </c>
      <c r="Z37" s="36">
        <v>35</v>
      </c>
    </row>
    <row r="38" spans="1:26" x14ac:dyDescent="0.25">
      <c r="A38" s="70">
        <v>38</v>
      </c>
      <c r="B38" s="16" t="s">
        <v>48</v>
      </c>
    </row>
    <row r="39" spans="1:26" x14ac:dyDescent="0.25">
      <c r="A39" s="70">
        <v>39</v>
      </c>
      <c r="B39" t="s">
        <v>49</v>
      </c>
      <c r="C39" t="s">
        <v>50</v>
      </c>
      <c r="D39" s="17">
        <v>56820</v>
      </c>
      <c r="E39" s="17">
        <v>75880</v>
      </c>
      <c r="F39" s="17">
        <v>69300</v>
      </c>
      <c r="G39" s="17">
        <v>90080</v>
      </c>
      <c r="H39" s="17">
        <v>122420</v>
      </c>
      <c r="S39" s="144" t="s">
        <v>321</v>
      </c>
      <c r="T39" s="225"/>
      <c r="U39" s="225"/>
      <c r="V39" s="225"/>
      <c r="W39" s="225"/>
      <c r="X39" s="225"/>
      <c r="Y39" s="225"/>
      <c r="Z39" s="225"/>
    </row>
    <row r="40" spans="1:26" x14ac:dyDescent="0.25">
      <c r="A40" s="70">
        <v>40</v>
      </c>
      <c r="B40" t="s">
        <v>51</v>
      </c>
      <c r="C40" t="s">
        <v>50</v>
      </c>
      <c r="D40" s="17">
        <v>27501</v>
      </c>
      <c r="E40" s="17">
        <v>30656</v>
      </c>
      <c r="F40" s="17">
        <v>31601</v>
      </c>
      <c r="G40" s="17">
        <v>39545</v>
      </c>
      <c r="H40" s="17">
        <v>49091</v>
      </c>
      <c r="S40" s="4" t="s">
        <v>322</v>
      </c>
    </row>
    <row r="41" spans="1:26" x14ac:dyDescent="0.25">
      <c r="A41" s="70">
        <v>41</v>
      </c>
      <c r="B41" t="s">
        <v>52</v>
      </c>
      <c r="C41" s="2" t="s">
        <v>50</v>
      </c>
      <c r="D41" s="18">
        <f>D39-D40</f>
        <v>29319</v>
      </c>
      <c r="E41" s="18">
        <f>E39-E40</f>
        <v>45224</v>
      </c>
      <c r="F41" s="18">
        <f>F39-F40</f>
        <v>37699</v>
      </c>
      <c r="G41" s="18">
        <f>G39-G40</f>
        <v>50535</v>
      </c>
      <c r="H41" s="18">
        <f>H39-H40</f>
        <v>73329</v>
      </c>
      <c r="S41" s="4" t="s">
        <v>312</v>
      </c>
      <c r="T41" t="s">
        <v>337</v>
      </c>
      <c r="U41" s="36">
        <v>11502</v>
      </c>
      <c r="V41" s="36">
        <v>23000</v>
      </c>
      <c r="W41" s="36">
        <v>350</v>
      </c>
      <c r="X41" s="36">
        <v>-30</v>
      </c>
      <c r="Y41" s="36">
        <v>117</v>
      </c>
      <c r="Z41" s="36">
        <v>17</v>
      </c>
    </row>
    <row r="42" spans="1:26" x14ac:dyDescent="0.25">
      <c r="A42" s="70">
        <v>42</v>
      </c>
      <c r="B42" t="s">
        <v>53</v>
      </c>
      <c r="C42" t="s">
        <v>50</v>
      </c>
      <c r="D42" s="17">
        <v>6080</v>
      </c>
      <c r="E42" s="17">
        <v>7664</v>
      </c>
      <c r="F42" s="17">
        <v>8177</v>
      </c>
      <c r="G42" s="17">
        <v>9368</v>
      </c>
      <c r="H42" s="17">
        <v>11140</v>
      </c>
      <c r="S42" s="4" t="s">
        <v>313</v>
      </c>
      <c r="T42" t="s">
        <v>338</v>
      </c>
      <c r="U42" s="36">
        <v>4443</v>
      </c>
      <c r="V42" s="36">
        <v>35000</v>
      </c>
      <c r="W42" s="36">
        <v>500</v>
      </c>
      <c r="X42" s="36">
        <v>12</v>
      </c>
      <c r="Y42" s="36">
        <v>384</v>
      </c>
      <c r="Z42" s="36">
        <v>35</v>
      </c>
    </row>
    <row r="43" spans="1:26" x14ac:dyDescent="0.25">
      <c r="A43" s="70">
        <v>43</v>
      </c>
      <c r="B43" t="s">
        <v>54</v>
      </c>
      <c r="C43" t="s">
        <v>50</v>
      </c>
      <c r="D43" s="17">
        <v>23239</v>
      </c>
      <c r="E43" s="17">
        <v>37561</v>
      </c>
      <c r="F43" s="17">
        <v>29522</v>
      </c>
      <c r="G43" s="17">
        <v>41167</v>
      </c>
      <c r="H43" s="17">
        <v>62189</v>
      </c>
      <c r="S43" s="4" t="s">
        <v>314</v>
      </c>
      <c r="T43" t="s">
        <v>339</v>
      </c>
      <c r="U43" s="36">
        <v>37134</v>
      </c>
      <c r="V43" s="36">
        <v>28000</v>
      </c>
      <c r="W43" s="36">
        <v>1100</v>
      </c>
      <c r="X43" s="36">
        <v>88</v>
      </c>
      <c r="Y43" s="36">
        <v>633</v>
      </c>
      <c r="Z43" s="36">
        <v>195</v>
      </c>
    </row>
    <row r="44" spans="1:26" x14ac:dyDescent="0.25">
      <c r="A44" s="70">
        <v>44</v>
      </c>
      <c r="B44" t="s">
        <v>55</v>
      </c>
      <c r="C44" t="s">
        <v>50</v>
      </c>
      <c r="D44" s="17">
        <v>5700</v>
      </c>
      <c r="E44" s="17">
        <v>7800</v>
      </c>
      <c r="F44" s="17">
        <v>9100</v>
      </c>
      <c r="G44" s="17">
        <v>10800</v>
      </c>
      <c r="H44" s="17">
        <v>12500</v>
      </c>
      <c r="S44" s="4" t="s">
        <v>315</v>
      </c>
      <c r="T44" t="s">
        <v>340</v>
      </c>
      <c r="U44" s="36">
        <v>86157</v>
      </c>
      <c r="V44" s="36">
        <v>38000</v>
      </c>
      <c r="W44" s="36">
        <v>1750</v>
      </c>
      <c r="X44" s="36">
        <v>180</v>
      </c>
      <c r="Y44" s="36">
        <v>1135</v>
      </c>
      <c r="Z44" s="36">
        <v>280</v>
      </c>
    </row>
    <row r="45" spans="1:26" x14ac:dyDescent="0.25">
      <c r="A45" s="70">
        <v>45</v>
      </c>
      <c r="B45" t="s">
        <v>56</v>
      </c>
      <c r="C45" s="2" t="s">
        <v>50</v>
      </c>
      <c r="D45" s="18">
        <f>D43+D44</f>
        <v>28939</v>
      </c>
      <c r="E45" s="18">
        <f>E43+E44</f>
        <v>45361</v>
      </c>
      <c r="F45" s="18">
        <f>F43+F44</f>
        <v>38622</v>
      </c>
      <c r="G45" s="18">
        <f>G43+G44</f>
        <v>51967</v>
      </c>
      <c r="H45" s="18">
        <f>H43+H44</f>
        <v>74689</v>
      </c>
      <c r="S45" s="4" t="s">
        <v>316</v>
      </c>
      <c r="T45" s="4" t="s">
        <v>341</v>
      </c>
      <c r="U45" s="36">
        <v>142387</v>
      </c>
      <c r="V45" s="36">
        <v>62189</v>
      </c>
      <c r="W45" s="36">
        <v>2350</v>
      </c>
      <c r="X45" s="36">
        <v>247</v>
      </c>
      <c r="Y45" s="36">
        <v>1799</v>
      </c>
      <c r="Z45" s="36">
        <v>387</v>
      </c>
    </row>
    <row r="46" spans="1:26" x14ac:dyDescent="0.25">
      <c r="A46" s="70">
        <v>46</v>
      </c>
      <c r="B46" t="s">
        <v>57</v>
      </c>
      <c r="C46" t="s">
        <v>50</v>
      </c>
      <c r="D46" s="17">
        <v>21350</v>
      </c>
      <c r="E46" s="17">
        <v>34070</v>
      </c>
      <c r="F46" s="17">
        <v>26880</v>
      </c>
      <c r="G46" s="17">
        <v>36520</v>
      </c>
      <c r="H46" s="17">
        <v>55210</v>
      </c>
    </row>
    <row r="47" spans="1:26" x14ac:dyDescent="0.25">
      <c r="A47" s="70">
        <v>47</v>
      </c>
      <c r="B47" t="s">
        <v>58</v>
      </c>
      <c r="C47" t="s">
        <v>59</v>
      </c>
      <c r="D47" s="19">
        <v>4.1100000000000003</v>
      </c>
      <c r="E47" s="19">
        <v>6.58</v>
      </c>
      <c r="F47" s="19">
        <v>5.22</v>
      </c>
      <c r="G47" s="19">
        <v>7.04</v>
      </c>
      <c r="H47" s="19">
        <v>10.65</v>
      </c>
      <c r="S47" s="4" t="s">
        <v>323</v>
      </c>
    </row>
    <row r="48" spans="1:26" x14ac:dyDescent="0.25">
      <c r="A48" s="70">
        <v>48</v>
      </c>
      <c r="D48" s="17"/>
      <c r="E48" s="17"/>
      <c r="F48" s="17"/>
      <c r="G48" s="17"/>
      <c r="H48" s="17"/>
      <c r="S48" s="4" t="s">
        <v>316</v>
      </c>
      <c r="T48" s="4" t="s">
        <v>341</v>
      </c>
      <c r="U48" s="108">
        <f>U45/'Data Input'!H10</f>
        <v>0.65938834295029125</v>
      </c>
      <c r="V48" s="108">
        <f>V45/'Data Input'!H39</f>
        <v>0.50799705930403527</v>
      </c>
      <c r="W48" s="108">
        <f>W45/'Data Input'!H68</f>
        <v>0.22971876557933119</v>
      </c>
      <c r="X48" s="108">
        <f>X45/'Data Input'!H97</f>
        <v>0.11393320008837896</v>
      </c>
      <c r="Y48" s="108">
        <f>Y45/'Data Input'!H126</f>
        <v>0.40197111081219616</v>
      </c>
      <c r="Z48" s="108">
        <f>Z45/'Data Input'!H155</f>
        <v>0.15731707317073171</v>
      </c>
    </row>
    <row r="49" spans="1:26" x14ac:dyDescent="0.25">
      <c r="A49" s="70">
        <v>49</v>
      </c>
      <c r="B49" s="16" t="s">
        <v>60</v>
      </c>
      <c r="D49" s="17"/>
      <c r="E49" s="17"/>
      <c r="F49" s="17"/>
      <c r="G49" s="17"/>
      <c r="H49" s="17"/>
    </row>
    <row r="50" spans="1:26" x14ac:dyDescent="0.25">
      <c r="A50" s="70">
        <v>50</v>
      </c>
      <c r="B50" t="s">
        <v>61</v>
      </c>
      <c r="C50" t="s">
        <v>50</v>
      </c>
      <c r="D50" s="17">
        <v>39920</v>
      </c>
      <c r="E50" s="17">
        <v>50000</v>
      </c>
      <c r="F50" s="17">
        <v>39820</v>
      </c>
      <c r="G50" s="17">
        <v>56830</v>
      </c>
      <c r="H50" s="17">
        <v>86700</v>
      </c>
      <c r="S50" s="4" t="s">
        <v>324</v>
      </c>
    </row>
    <row r="51" spans="1:26" x14ac:dyDescent="0.25">
      <c r="A51" s="70">
        <v>51</v>
      </c>
      <c r="B51" t="s">
        <v>62</v>
      </c>
      <c r="C51" t="s">
        <v>50</v>
      </c>
      <c r="D51" s="17">
        <v>30040</v>
      </c>
      <c r="E51" s="17">
        <v>36290</v>
      </c>
      <c r="F51" s="17">
        <v>30450</v>
      </c>
      <c r="G51" s="17">
        <v>29760</v>
      </c>
      <c r="H51" s="17">
        <v>40900</v>
      </c>
      <c r="S51" s="4" t="s">
        <v>316</v>
      </c>
      <c r="T51" s="4" t="s">
        <v>341</v>
      </c>
      <c r="U51" s="36">
        <f>U45+'Data Input'!H15</f>
        <v>145230</v>
      </c>
      <c r="V51" s="36">
        <f>V45+'Data Input'!H44</f>
        <v>74689</v>
      </c>
      <c r="W51" s="36">
        <f>W45+'Data Input'!H73</f>
        <v>2658.6</v>
      </c>
      <c r="X51" s="36">
        <f>X45+'Data Input'!H102</f>
        <v>436.74199999999996</v>
      </c>
      <c r="Y51" s="36">
        <f>Y45+'Data Input'!H131</f>
        <v>1825.145</v>
      </c>
      <c r="Z51" s="36">
        <f>Z45+'Data Input'!H160</f>
        <v>400.5</v>
      </c>
    </row>
    <row r="52" spans="1:26" x14ac:dyDescent="0.25">
      <c r="A52" s="70">
        <v>52</v>
      </c>
      <c r="B52" t="s">
        <v>63</v>
      </c>
      <c r="C52" s="2" t="s">
        <v>50</v>
      </c>
      <c r="D52" s="18">
        <f>D50-D51</f>
        <v>9880</v>
      </c>
      <c r="E52" s="18">
        <f>E50-E51</f>
        <v>13710</v>
      </c>
      <c r="F52" s="18">
        <f>F50-F51</f>
        <v>9370</v>
      </c>
      <c r="G52" s="18">
        <f>G50-G51</f>
        <v>27070</v>
      </c>
      <c r="H52" s="18">
        <f>H50-H51</f>
        <v>45800</v>
      </c>
    </row>
    <row r="53" spans="1:26" x14ac:dyDescent="0.25">
      <c r="A53" s="70">
        <v>53</v>
      </c>
      <c r="D53" s="17"/>
      <c r="E53" s="17"/>
      <c r="F53" s="17"/>
      <c r="G53" s="17"/>
      <c r="H53" s="17"/>
      <c r="S53" s="226" t="s">
        <v>325</v>
      </c>
      <c r="T53" s="227"/>
      <c r="U53" s="227"/>
      <c r="V53" s="227"/>
      <c r="W53" s="227"/>
      <c r="X53" s="227"/>
      <c r="Y53" s="227"/>
      <c r="Z53" s="227"/>
    </row>
    <row r="54" spans="1:26" x14ac:dyDescent="0.25">
      <c r="A54" s="70">
        <v>54</v>
      </c>
      <c r="B54" s="16" t="s">
        <v>64</v>
      </c>
      <c r="S54" s="4" t="s">
        <v>326</v>
      </c>
      <c r="U54" t="s">
        <v>342</v>
      </c>
      <c r="V54" t="s">
        <v>347</v>
      </c>
      <c r="W54" t="s">
        <v>351</v>
      </c>
      <c r="X54" t="s">
        <v>354</v>
      </c>
      <c r="Y54" t="s">
        <v>357</v>
      </c>
      <c r="Z54" t="s">
        <v>361</v>
      </c>
    </row>
    <row r="55" spans="1:26" x14ac:dyDescent="0.25">
      <c r="A55" s="70">
        <v>55</v>
      </c>
      <c r="B55" t="s">
        <v>65</v>
      </c>
      <c r="C55" t="s">
        <v>50</v>
      </c>
      <c r="D55" s="17">
        <v>39440</v>
      </c>
      <c r="E55" s="17">
        <v>47840</v>
      </c>
      <c r="F55" s="17">
        <v>64995</v>
      </c>
      <c r="G55" s="17">
        <v>72530</v>
      </c>
      <c r="H55" s="17">
        <v>90000</v>
      </c>
      <c r="S55" s="4" t="s">
        <v>327</v>
      </c>
      <c r="U55" t="s">
        <v>343</v>
      </c>
      <c r="V55" t="s">
        <v>348</v>
      </c>
      <c r="W55" t="s">
        <v>352</v>
      </c>
      <c r="X55" t="s">
        <v>355</v>
      </c>
      <c r="Y55" t="s">
        <v>358</v>
      </c>
      <c r="Z55" t="s">
        <v>362</v>
      </c>
    </row>
    <row r="56" spans="1:26" x14ac:dyDescent="0.25">
      <c r="A56" s="70">
        <v>56</v>
      </c>
      <c r="B56" t="s">
        <v>66</v>
      </c>
      <c r="C56" t="s">
        <v>50</v>
      </c>
      <c r="D56" s="17">
        <v>27500</v>
      </c>
      <c r="E56" s="17">
        <v>31500</v>
      </c>
      <c r="F56" s="17">
        <v>32000</v>
      </c>
      <c r="G56" s="17">
        <v>31500</v>
      </c>
      <c r="H56" s="17">
        <v>31000</v>
      </c>
      <c r="S56" s="4" t="s">
        <v>328</v>
      </c>
      <c r="U56" t="s">
        <v>344</v>
      </c>
      <c r="V56" t="s">
        <v>349</v>
      </c>
      <c r="W56" t="s">
        <v>353</v>
      </c>
      <c r="X56" t="s">
        <v>356</v>
      </c>
      <c r="Y56" t="s">
        <v>359</v>
      </c>
      <c r="Z56" t="s">
        <v>363</v>
      </c>
    </row>
    <row r="57" spans="1:26" x14ac:dyDescent="0.25">
      <c r="A57" s="70">
        <v>57</v>
      </c>
      <c r="B57" t="s">
        <v>67</v>
      </c>
      <c r="C57" t="s">
        <v>68</v>
      </c>
      <c r="D57" s="20">
        <v>5189</v>
      </c>
      <c r="E57" s="20">
        <v>5187</v>
      </c>
      <c r="F57" s="20">
        <v>5189</v>
      </c>
      <c r="G57" s="20">
        <v>5193</v>
      </c>
      <c r="H57" s="20">
        <v>5193</v>
      </c>
      <c r="S57" s="4" t="s">
        <v>329</v>
      </c>
      <c r="U57" t="s">
        <v>345</v>
      </c>
      <c r="V57" t="s">
        <v>350</v>
      </c>
      <c r="W57" t="s">
        <v>346</v>
      </c>
      <c r="X57" t="s">
        <v>346</v>
      </c>
      <c r="Y57" t="s">
        <v>360</v>
      </c>
      <c r="Z57" t="s">
        <v>364</v>
      </c>
    </row>
    <row r="58" spans="1:26" x14ac:dyDescent="0.25">
      <c r="A58" s="70">
        <v>58</v>
      </c>
      <c r="S58" s="4" t="s">
        <v>330</v>
      </c>
      <c r="U58" s="108">
        <v>0.8972</v>
      </c>
      <c r="V58" s="108">
        <v>0.51</v>
      </c>
      <c r="W58" s="108">
        <v>0.73</v>
      </c>
      <c r="X58" s="108">
        <v>0.7</v>
      </c>
      <c r="Y58" s="108">
        <v>0.44</v>
      </c>
      <c r="Z58" s="108">
        <v>0.72</v>
      </c>
    </row>
    <row r="59" spans="1:26" x14ac:dyDescent="0.25">
      <c r="A59" s="70">
        <v>59</v>
      </c>
      <c r="B59" s="16" t="s">
        <v>69</v>
      </c>
    </row>
    <row r="60" spans="1:26" x14ac:dyDescent="0.25">
      <c r="A60" s="70">
        <v>60</v>
      </c>
      <c r="B60" t="s">
        <v>70</v>
      </c>
      <c r="C60" t="s">
        <v>59</v>
      </c>
      <c r="D60" s="19"/>
      <c r="E60" s="19"/>
      <c r="F60" s="19"/>
      <c r="G60" s="19"/>
      <c r="H60" s="19">
        <v>404.52</v>
      </c>
      <c r="S60" s="142" t="s">
        <v>331</v>
      </c>
      <c r="T60" s="125"/>
      <c r="U60" s="125"/>
      <c r="V60" s="125"/>
      <c r="W60" s="125"/>
      <c r="X60" s="125"/>
      <c r="Y60" s="125"/>
      <c r="Z60" s="125"/>
    </row>
    <row r="61" spans="1:26" x14ac:dyDescent="0.25">
      <c r="A61" s="70">
        <v>61</v>
      </c>
      <c r="B61" t="s">
        <v>71</v>
      </c>
      <c r="C61" s="2" t="s">
        <v>50</v>
      </c>
      <c r="D61" s="18">
        <f>D60*D57</f>
        <v>0</v>
      </c>
      <c r="E61" s="18">
        <f t="shared" ref="E61" si="5">E60*E57</f>
        <v>0</v>
      </c>
      <c r="F61" s="18">
        <f t="shared" ref="F61" si="6">F60*F57</f>
        <v>0</v>
      </c>
      <c r="G61" s="18">
        <f t="shared" ref="G61" si="7">G60*G57</f>
        <v>0</v>
      </c>
      <c r="H61" s="18">
        <f t="shared" ref="H61" si="8">H60*H57</f>
        <v>2100672.36</v>
      </c>
      <c r="S61" s="4" t="s">
        <v>332</v>
      </c>
      <c r="U61" s="108" t="s">
        <v>346</v>
      </c>
      <c r="V61" s="108" t="s">
        <v>346</v>
      </c>
      <c r="W61" s="108" t="s">
        <v>346</v>
      </c>
      <c r="X61" s="108">
        <v>1.1200000000000001</v>
      </c>
      <c r="Y61" s="108">
        <v>1.24</v>
      </c>
      <c r="Z61" s="108">
        <v>1.21</v>
      </c>
    </row>
    <row r="62" spans="1:26" x14ac:dyDescent="0.25">
      <c r="A62" s="70">
        <v>62</v>
      </c>
      <c r="B62" t="s">
        <v>72</v>
      </c>
      <c r="C62" s="2" t="s">
        <v>50</v>
      </c>
      <c r="D62" s="18">
        <f>D61+D56-D55</f>
        <v>-11940</v>
      </c>
      <c r="E62" s="18">
        <f t="shared" ref="E62" si="9">E61+E56-E55</f>
        <v>-16340</v>
      </c>
      <c r="F62" s="18">
        <f t="shared" ref="F62" si="10">F61+F56-F55</f>
        <v>-32995</v>
      </c>
      <c r="G62" s="18">
        <f t="shared" ref="G62" si="11">G61+G56-G55</f>
        <v>-41030</v>
      </c>
      <c r="H62" s="18">
        <f t="shared" ref="H62" si="12">H61+H56-H55</f>
        <v>2041672.3599999999</v>
      </c>
      <c r="S62" s="4" t="s">
        <v>333</v>
      </c>
      <c r="U62" s="228" t="s">
        <v>346</v>
      </c>
      <c r="V62" s="228" t="s">
        <v>346</v>
      </c>
      <c r="W62" s="228" t="s">
        <v>346</v>
      </c>
      <c r="X62" s="228">
        <v>4400</v>
      </c>
      <c r="Y62" s="228">
        <v>1007</v>
      </c>
      <c r="Z62" s="228">
        <v>2799</v>
      </c>
    </row>
    <row r="63" spans="1:26" x14ac:dyDescent="0.25">
      <c r="A63" s="70">
        <v>63</v>
      </c>
      <c r="S63" s="4" t="s">
        <v>334</v>
      </c>
      <c r="U63" s="228" t="s">
        <v>346</v>
      </c>
      <c r="V63" s="228">
        <v>534</v>
      </c>
      <c r="W63" s="228" t="s">
        <v>346</v>
      </c>
      <c r="X63" s="228">
        <v>250000</v>
      </c>
      <c r="Y63" s="228">
        <v>1007</v>
      </c>
      <c r="Z63" s="228">
        <v>65200</v>
      </c>
    </row>
    <row r="64" spans="1:26" x14ac:dyDescent="0.25">
      <c r="A64" s="70">
        <v>64</v>
      </c>
      <c r="S64" s="4" t="s">
        <v>335</v>
      </c>
      <c r="U64" s="36" t="s">
        <v>346</v>
      </c>
      <c r="V64" s="36" t="s">
        <v>346</v>
      </c>
      <c r="W64" s="36">
        <v>7500</v>
      </c>
      <c r="X64" s="36">
        <v>2543</v>
      </c>
      <c r="Y64" s="36">
        <v>4500</v>
      </c>
      <c r="Z64" s="36">
        <v>1500</v>
      </c>
    </row>
    <row r="65" spans="1:26" ht="17.25" x14ac:dyDescent="0.3">
      <c r="A65" s="70">
        <v>65</v>
      </c>
      <c r="B65" s="23" t="s">
        <v>74</v>
      </c>
      <c r="C65" s="24" t="s">
        <v>12</v>
      </c>
      <c r="D65" s="24" t="s">
        <v>73</v>
      </c>
      <c r="S65" s="4" t="s">
        <v>336</v>
      </c>
      <c r="U65" s="108">
        <f>'Comp Table'!F5+U48</f>
        <v>1.3141237008512392</v>
      </c>
      <c r="V65" s="108">
        <f>'Comp Table'!F6+V48</f>
        <v>0.86701126889550961</v>
      </c>
      <c r="W65" s="108">
        <f>'Comp Table'!F7+W48</f>
        <v>0.50657290572261982</v>
      </c>
      <c r="X65" s="108">
        <f>'Comp Table'!F8+X48</f>
        <v>0.41238986044225456</v>
      </c>
      <c r="Y65" s="108">
        <f>'Comp Table'!F9+Y48</f>
        <v>0.96380502013435088</v>
      </c>
      <c r="Z65" s="108">
        <f>'Comp Table'!F10+Z48</f>
        <v>0.38336735219684914</v>
      </c>
    </row>
    <row r="66" spans="1:26" x14ac:dyDescent="0.25">
      <c r="A66" s="70">
        <v>66</v>
      </c>
      <c r="B66" s="14" t="s">
        <v>42</v>
      </c>
      <c r="C66" s="14" t="s">
        <v>32</v>
      </c>
      <c r="D66" s="15" t="s">
        <v>43</v>
      </c>
      <c r="E66" s="15" t="s">
        <v>44</v>
      </c>
      <c r="F66" s="15" t="s">
        <v>45</v>
      </c>
      <c r="G66" s="15" t="s">
        <v>46</v>
      </c>
      <c r="H66" s="15" t="s">
        <v>47</v>
      </c>
    </row>
    <row r="67" spans="1:26" x14ac:dyDescent="0.25">
      <c r="A67" s="70">
        <v>67</v>
      </c>
      <c r="B67" s="16" t="s">
        <v>48</v>
      </c>
    </row>
    <row r="68" spans="1:26" x14ac:dyDescent="0.25">
      <c r="A68" s="70">
        <v>68</v>
      </c>
      <c r="B68" t="s">
        <v>49</v>
      </c>
      <c r="C68" t="s">
        <v>50</v>
      </c>
      <c r="D68" s="17">
        <v>4998.1000000000004</v>
      </c>
      <c r="E68" s="17">
        <v>5691.5</v>
      </c>
      <c r="F68" s="17">
        <v>6863.2</v>
      </c>
      <c r="G68" s="17">
        <v>8011.8</v>
      </c>
      <c r="H68" s="17">
        <v>10229.9</v>
      </c>
    </row>
    <row r="69" spans="1:26" x14ac:dyDescent="0.25">
      <c r="A69" s="70">
        <v>69</v>
      </c>
      <c r="B69" t="s">
        <v>51</v>
      </c>
      <c r="C69" t="s">
        <v>50</v>
      </c>
      <c r="D69" s="17">
        <v>3475.4</v>
      </c>
      <c r="E69" s="17">
        <v>4075.4</v>
      </c>
      <c r="F69" s="17">
        <v>4462.7</v>
      </c>
      <c r="G69" s="17">
        <v>5077.6000000000004</v>
      </c>
      <c r="H69" s="17">
        <v>6514.7</v>
      </c>
    </row>
    <row r="70" spans="1:26" x14ac:dyDescent="0.25">
      <c r="A70" s="70">
        <v>70</v>
      </c>
      <c r="B70" t="s">
        <v>52</v>
      </c>
      <c r="C70" s="2" t="s">
        <v>50</v>
      </c>
      <c r="D70" s="18">
        <f>D68-D69</f>
        <v>1522.7000000000003</v>
      </c>
      <c r="E70" s="18">
        <f t="shared" ref="E70" si="13">E68-E69</f>
        <v>1616.1</v>
      </c>
      <c r="F70" s="18">
        <f t="shared" ref="F70" si="14">F68-F69</f>
        <v>2400.5</v>
      </c>
      <c r="G70" s="18">
        <f t="shared" ref="G70" si="15">G68-G69</f>
        <v>2934.2</v>
      </c>
      <c r="H70" s="18">
        <f t="shared" ref="H70" si="16">H68-H69</f>
        <v>3715.2</v>
      </c>
    </row>
    <row r="71" spans="1:26" x14ac:dyDescent="0.25">
      <c r="A71" s="70">
        <v>71</v>
      </c>
      <c r="B71" t="s">
        <v>53</v>
      </c>
      <c r="C71" t="s">
        <v>50</v>
      </c>
      <c r="D71" s="17">
        <v>1262.5999999999999</v>
      </c>
      <c r="E71" s="17">
        <v>1392.7</v>
      </c>
      <c r="F71" s="17">
        <v>1528.3</v>
      </c>
      <c r="G71" s="17">
        <v>1566.8</v>
      </c>
      <c r="H71" s="17">
        <v>1885.5</v>
      </c>
    </row>
    <row r="72" spans="1:26" x14ac:dyDescent="0.25">
      <c r="A72" s="70">
        <v>72</v>
      </c>
      <c r="B72" t="s">
        <v>54</v>
      </c>
      <c r="C72" t="s">
        <v>50</v>
      </c>
      <c r="D72" s="17">
        <v>259.89999999999998</v>
      </c>
      <c r="E72" s="17">
        <v>223.4</v>
      </c>
      <c r="F72" s="17">
        <v>872.2</v>
      </c>
      <c r="G72" s="17">
        <v>1367.4</v>
      </c>
      <c r="H72" s="17">
        <v>1829.7</v>
      </c>
    </row>
    <row r="73" spans="1:26" x14ac:dyDescent="0.25">
      <c r="A73" s="70">
        <v>73</v>
      </c>
      <c r="B73" t="s">
        <v>55</v>
      </c>
      <c r="C73" t="s">
        <v>50</v>
      </c>
      <c r="D73" s="17">
        <v>227</v>
      </c>
      <c r="E73" s="17">
        <v>302.39999999999998</v>
      </c>
      <c r="F73" s="17">
        <v>271</v>
      </c>
      <c r="G73" s="17">
        <v>277</v>
      </c>
      <c r="H73" s="17">
        <v>308.60000000000002</v>
      </c>
    </row>
    <row r="74" spans="1:26" x14ac:dyDescent="0.25">
      <c r="A74" s="70">
        <v>74</v>
      </c>
      <c r="B74" t="s">
        <v>56</v>
      </c>
      <c r="C74" s="2" t="s">
        <v>50</v>
      </c>
      <c r="D74" s="18">
        <f>D72+D73</f>
        <v>486.9</v>
      </c>
      <c r="E74" s="18">
        <f t="shared" ref="E74" si="17">E72+E73</f>
        <v>525.79999999999995</v>
      </c>
      <c r="F74" s="18">
        <f t="shared" ref="F74" si="18">F72+F73</f>
        <v>1143.2</v>
      </c>
      <c r="G74" s="18">
        <f t="shared" ref="G74" si="19">G72+G73</f>
        <v>1644.4</v>
      </c>
      <c r="H74" s="18">
        <f t="shared" ref="H74" si="20">H72+H73</f>
        <v>2138.3000000000002</v>
      </c>
    </row>
    <row r="75" spans="1:26" x14ac:dyDescent="0.25">
      <c r="A75" s="70">
        <v>75</v>
      </c>
      <c r="B75" t="s">
        <v>57</v>
      </c>
      <c r="C75" t="s">
        <v>50</v>
      </c>
      <c r="D75" s="17">
        <v>119.6</v>
      </c>
      <c r="E75" s="17">
        <v>76.599999999999994</v>
      </c>
      <c r="F75" s="17">
        <v>460.2</v>
      </c>
      <c r="G75" s="17">
        <v>495.8</v>
      </c>
      <c r="H75" s="17">
        <v>1332.8</v>
      </c>
    </row>
    <row r="76" spans="1:26" x14ac:dyDescent="0.25">
      <c r="A76" s="70">
        <v>76</v>
      </c>
      <c r="B76" t="s">
        <v>58</v>
      </c>
      <c r="C76" t="s">
        <v>59</v>
      </c>
      <c r="D76" s="19">
        <v>0.33</v>
      </c>
      <c r="E76" s="19">
        <v>-0.04</v>
      </c>
      <c r="F76" s="19">
        <v>1.19</v>
      </c>
      <c r="G76" s="19">
        <v>1.28</v>
      </c>
      <c r="H76" s="19">
        <v>3.41</v>
      </c>
    </row>
    <row r="77" spans="1:26" x14ac:dyDescent="0.25">
      <c r="A77" s="70">
        <v>77</v>
      </c>
    </row>
    <row r="78" spans="1:26" x14ac:dyDescent="0.25">
      <c r="A78" s="70">
        <v>78</v>
      </c>
      <c r="B78" s="16" t="s">
        <v>60</v>
      </c>
    </row>
    <row r="79" spans="1:26" x14ac:dyDescent="0.25">
      <c r="A79" s="70">
        <v>79</v>
      </c>
      <c r="B79" t="s">
        <v>61</v>
      </c>
      <c r="C79" t="s">
        <v>50</v>
      </c>
      <c r="D79" s="17">
        <v>210.9</v>
      </c>
      <c r="E79" s="17">
        <v>-152.80000000000001</v>
      </c>
      <c r="F79" s="17">
        <v>900.5</v>
      </c>
      <c r="G79" s="17">
        <v>1319.3</v>
      </c>
      <c r="H79" s="17">
        <v>2113.8000000000002</v>
      </c>
    </row>
    <row r="80" spans="1:26" x14ac:dyDescent="0.25">
      <c r="A80" s="70">
        <v>80</v>
      </c>
      <c r="B80" t="s">
        <v>62</v>
      </c>
      <c r="C80" t="s">
        <v>50</v>
      </c>
      <c r="D80" s="17">
        <v>73.400000000000006</v>
      </c>
      <c r="E80" s="17">
        <v>100</v>
      </c>
      <c r="F80" s="17">
        <v>127.9</v>
      </c>
      <c r="G80" s="17">
        <v>167</v>
      </c>
      <c r="H80" s="17">
        <v>220</v>
      </c>
    </row>
    <row r="81" spans="1:8" x14ac:dyDescent="0.25">
      <c r="A81" s="70">
        <v>81</v>
      </c>
      <c r="B81" t="s">
        <v>63</v>
      </c>
      <c r="C81" s="2" t="s">
        <v>50</v>
      </c>
      <c r="D81" s="18">
        <f>D79-D80</f>
        <v>137.5</v>
      </c>
      <c r="E81" s="18">
        <f t="shared" ref="E81" si="21">E79-E80</f>
        <v>-252.8</v>
      </c>
      <c r="F81" s="18">
        <f t="shared" ref="F81" si="22">F79-F80</f>
        <v>772.6</v>
      </c>
      <c r="G81" s="18">
        <f t="shared" ref="G81" si="23">G79-G80</f>
        <v>1152.3</v>
      </c>
      <c r="H81" s="18">
        <f t="shared" ref="H81" si="24">H79-H80</f>
        <v>1893.8000000000002</v>
      </c>
    </row>
    <row r="82" spans="1:8" x14ac:dyDescent="0.25">
      <c r="A82" s="70">
        <v>82</v>
      </c>
    </row>
    <row r="83" spans="1:8" x14ac:dyDescent="0.25">
      <c r="A83" s="70">
        <v>83</v>
      </c>
      <c r="B83" s="16" t="s">
        <v>64</v>
      </c>
    </row>
    <row r="84" spans="1:8" x14ac:dyDescent="0.25">
      <c r="A84" s="70">
        <v>84</v>
      </c>
      <c r="B84" t="s">
        <v>65</v>
      </c>
      <c r="C84" t="s">
        <v>50</v>
      </c>
      <c r="D84" s="17">
        <v>439.1</v>
      </c>
      <c r="E84" s="17">
        <v>260.60000000000002</v>
      </c>
      <c r="F84" s="17">
        <v>780.4</v>
      </c>
      <c r="G84" s="17">
        <v>1227.5999999999999</v>
      </c>
      <c r="H84" s="17">
        <v>1728.4</v>
      </c>
    </row>
    <row r="85" spans="1:8" x14ac:dyDescent="0.25">
      <c r="A85" s="70">
        <v>85</v>
      </c>
      <c r="B85" t="s">
        <v>66</v>
      </c>
      <c r="C85" t="s">
        <v>50</v>
      </c>
      <c r="D85" s="17">
        <v>2972.3</v>
      </c>
      <c r="E85" s="17">
        <v>3190.9</v>
      </c>
      <c r="F85" s="17">
        <v>2940.9</v>
      </c>
      <c r="G85" s="17">
        <v>2928.2</v>
      </c>
      <c r="H85" s="17">
        <v>2913</v>
      </c>
    </row>
    <row r="86" spans="1:8" x14ac:dyDescent="0.25">
      <c r="A86" s="70">
        <v>86</v>
      </c>
      <c r="B86" t="s">
        <v>67</v>
      </c>
      <c r="C86" t="s">
        <v>68</v>
      </c>
      <c r="D86" s="20">
        <v>360.1</v>
      </c>
      <c r="E86" s="20">
        <v>378.2</v>
      </c>
      <c r="F86" s="20">
        <v>386.2</v>
      </c>
      <c r="G86" s="20">
        <v>386.3</v>
      </c>
      <c r="H86" s="20">
        <v>390.7</v>
      </c>
    </row>
    <row r="87" spans="1:8" x14ac:dyDescent="0.25">
      <c r="A87" s="70">
        <v>87</v>
      </c>
    </row>
    <row r="88" spans="1:8" x14ac:dyDescent="0.25">
      <c r="A88" s="70">
        <v>88</v>
      </c>
      <c r="B88" s="16" t="s">
        <v>69</v>
      </c>
    </row>
    <row r="89" spans="1:8" x14ac:dyDescent="0.25">
      <c r="A89" s="70">
        <v>89</v>
      </c>
      <c r="B89" t="s">
        <v>70</v>
      </c>
      <c r="C89" t="s">
        <v>59</v>
      </c>
      <c r="D89" s="19"/>
      <c r="E89" s="19"/>
      <c r="F89" s="19"/>
      <c r="G89" s="19"/>
      <c r="H89" s="19">
        <v>327.45999999999998</v>
      </c>
    </row>
    <row r="90" spans="1:8" x14ac:dyDescent="0.25">
      <c r="A90" s="70">
        <v>90</v>
      </c>
      <c r="B90" t="s">
        <v>71</v>
      </c>
      <c r="C90" s="2" t="s">
        <v>50</v>
      </c>
      <c r="D90" s="18">
        <f>D89*D86</f>
        <v>0</v>
      </c>
      <c r="E90" s="18">
        <f t="shared" ref="E90" si="25">E89*E86</f>
        <v>0</v>
      </c>
      <c r="F90" s="18">
        <f t="shared" ref="F90" si="26">F89*F86</f>
        <v>0</v>
      </c>
      <c r="G90" s="18">
        <f t="shared" ref="G90" si="27">G89*G86</f>
        <v>0</v>
      </c>
      <c r="H90" s="18">
        <f t="shared" ref="H90" si="28">H89*H86</f>
        <v>127938.62199999999</v>
      </c>
    </row>
    <row r="91" spans="1:8" x14ac:dyDescent="0.25">
      <c r="A91" s="70">
        <v>91</v>
      </c>
      <c r="B91" t="s">
        <v>72</v>
      </c>
      <c r="C91" s="2" t="s">
        <v>50</v>
      </c>
      <c r="D91" s="18">
        <f>D90+D85-D84</f>
        <v>2533.2000000000003</v>
      </c>
      <c r="E91" s="18">
        <f t="shared" ref="E91" si="29">E90+E85-E84</f>
        <v>2930.3</v>
      </c>
      <c r="F91" s="18">
        <f t="shared" ref="F91" si="30">F90+F85-F84</f>
        <v>2160.5</v>
      </c>
      <c r="G91" s="18">
        <f t="shared" ref="G91" si="31">G90+G85-G84</f>
        <v>1700.6</v>
      </c>
      <c r="H91" s="18">
        <f t="shared" ref="H91" si="32">H90+H85-H84</f>
        <v>129123.22199999999</v>
      </c>
    </row>
    <row r="92" spans="1:8" x14ac:dyDescent="0.25">
      <c r="A92" s="70">
        <v>92</v>
      </c>
    </row>
    <row r="93" spans="1:8" x14ac:dyDescent="0.25">
      <c r="A93" s="70">
        <v>93</v>
      </c>
    </row>
    <row r="94" spans="1:8" ht="17.25" x14ac:dyDescent="0.3">
      <c r="A94" s="70">
        <v>94</v>
      </c>
      <c r="B94" s="25" t="s">
        <v>79</v>
      </c>
      <c r="C94" s="26" t="s">
        <v>15</v>
      </c>
      <c r="D94" s="26" t="s">
        <v>73</v>
      </c>
    </row>
    <row r="95" spans="1:8" x14ac:dyDescent="0.25">
      <c r="A95" s="70">
        <v>95</v>
      </c>
      <c r="B95" s="14" t="s">
        <v>42</v>
      </c>
      <c r="C95" s="14" t="s">
        <v>32</v>
      </c>
      <c r="D95" s="15" t="s">
        <v>43</v>
      </c>
      <c r="E95" s="15" t="s">
        <v>44</v>
      </c>
      <c r="F95" s="15" t="s">
        <v>45</v>
      </c>
      <c r="G95" s="15" t="s">
        <v>46</v>
      </c>
      <c r="H95" s="15" t="s">
        <v>47</v>
      </c>
    </row>
    <row r="96" spans="1:8" x14ac:dyDescent="0.25">
      <c r="A96" s="70">
        <v>96</v>
      </c>
      <c r="B96" s="16" t="s">
        <v>48</v>
      </c>
    </row>
    <row r="97" spans="1:8" x14ac:dyDescent="0.25">
      <c r="A97" s="70">
        <v>97</v>
      </c>
      <c r="B97" t="s">
        <v>49</v>
      </c>
      <c r="C97" t="s">
        <v>50</v>
      </c>
      <c r="D97" s="17">
        <v>656.42600000000004</v>
      </c>
      <c r="E97" s="17">
        <v>975.24099999999999</v>
      </c>
      <c r="F97" s="17">
        <v>1296.7449999999999</v>
      </c>
      <c r="G97" s="17">
        <v>1669.626</v>
      </c>
      <c r="H97" s="17">
        <v>2167.9369999999999</v>
      </c>
    </row>
    <row r="98" spans="1:8" x14ac:dyDescent="0.25">
      <c r="A98" s="70">
        <v>98</v>
      </c>
      <c r="B98" t="s">
        <v>51</v>
      </c>
      <c r="C98" t="s">
        <v>50</v>
      </c>
      <c r="D98" s="17">
        <v>147.13399999999999</v>
      </c>
      <c r="E98" s="17">
        <v>232.61</v>
      </c>
      <c r="F98" s="17">
        <v>307.005</v>
      </c>
      <c r="G98" s="17">
        <v>378.702</v>
      </c>
      <c r="H98" s="17">
        <v>552.52499999999998</v>
      </c>
    </row>
    <row r="99" spans="1:8" x14ac:dyDescent="0.25">
      <c r="A99" s="70">
        <v>99</v>
      </c>
      <c r="B99" t="s">
        <v>52</v>
      </c>
      <c r="C99" s="2" t="s">
        <v>50</v>
      </c>
      <c r="D99" s="18">
        <f>D97-D98</f>
        <v>509.29200000000003</v>
      </c>
      <c r="E99" s="18">
        <f t="shared" ref="E99" si="33">E97-E98</f>
        <v>742.63099999999997</v>
      </c>
      <c r="F99" s="18">
        <f t="shared" ref="F99" si="34">F97-F98</f>
        <v>989.7399999999999</v>
      </c>
      <c r="G99" s="18">
        <f t="shared" ref="G99" si="35">G97-G98</f>
        <v>1290.924</v>
      </c>
      <c r="H99" s="18">
        <f t="shared" ref="H99" si="36">H97-H98</f>
        <v>1615.4119999999998</v>
      </c>
    </row>
    <row r="100" spans="1:8" x14ac:dyDescent="0.25">
      <c r="A100" s="70">
        <v>100</v>
      </c>
      <c r="B100" t="s">
        <v>53</v>
      </c>
      <c r="C100" t="s">
        <v>50</v>
      </c>
      <c r="D100" s="17">
        <v>636.976</v>
      </c>
      <c r="E100" s="17">
        <v>943.83399999999995</v>
      </c>
      <c r="F100" s="17">
        <v>1175.2249999999999</v>
      </c>
      <c r="G100" s="17">
        <v>1445.6849999999999</v>
      </c>
      <c r="H100" s="17">
        <v>1822.617</v>
      </c>
    </row>
    <row r="101" spans="1:8" x14ac:dyDescent="0.25">
      <c r="A101" s="70">
        <v>101</v>
      </c>
      <c r="B101" t="s">
        <v>54</v>
      </c>
      <c r="C101" t="s">
        <v>50</v>
      </c>
      <c r="D101" s="17">
        <v>-127.684</v>
      </c>
      <c r="E101" s="17">
        <v>-201.203</v>
      </c>
      <c r="F101" s="17">
        <v>-185.48500000000001</v>
      </c>
      <c r="G101" s="17">
        <v>-154.761</v>
      </c>
      <c r="H101" s="17">
        <v>-207.20500000000001</v>
      </c>
    </row>
    <row r="102" spans="1:8" x14ac:dyDescent="0.25">
      <c r="A102" s="70">
        <v>102</v>
      </c>
      <c r="B102" t="s">
        <v>55</v>
      </c>
      <c r="C102" t="s">
        <v>50</v>
      </c>
      <c r="D102" s="17">
        <v>66.606999999999999</v>
      </c>
      <c r="E102" s="17">
        <v>102.33499999999999</v>
      </c>
      <c r="F102" s="17">
        <v>135.82</v>
      </c>
      <c r="G102" s="17">
        <v>127.72199999999999</v>
      </c>
      <c r="H102" s="17">
        <v>189.74199999999999</v>
      </c>
    </row>
    <row r="103" spans="1:8" x14ac:dyDescent="0.25">
      <c r="A103" s="70">
        <v>103</v>
      </c>
      <c r="B103" t="s">
        <v>56</v>
      </c>
      <c r="C103" s="2" t="s">
        <v>50</v>
      </c>
      <c r="D103" s="18">
        <f>D101+D102</f>
        <v>-61.076999999999998</v>
      </c>
      <c r="E103" s="18">
        <f t="shared" ref="E103" si="37">E101+E102</f>
        <v>-98.868000000000009</v>
      </c>
      <c r="F103" s="18">
        <f t="shared" ref="F103" si="38">F101+F102</f>
        <v>-49.66500000000002</v>
      </c>
      <c r="G103" s="18">
        <f t="shared" ref="G103" si="39">G101+G102</f>
        <v>-27.039000000000001</v>
      </c>
      <c r="H103" s="18">
        <f t="shared" ref="H103" si="40">H101+H102</f>
        <v>-17.463000000000022</v>
      </c>
    </row>
    <row r="104" spans="1:8" x14ac:dyDescent="0.25">
      <c r="A104" s="70">
        <v>104</v>
      </c>
      <c r="B104" t="s">
        <v>57</v>
      </c>
      <c r="C104" t="s">
        <v>50</v>
      </c>
      <c r="D104" s="17">
        <v>-260.30900000000003</v>
      </c>
      <c r="E104" s="17">
        <v>-193.381</v>
      </c>
      <c r="F104" s="17">
        <v>-183.94900000000001</v>
      </c>
      <c r="G104" s="17">
        <v>-78.8</v>
      </c>
      <c r="H104" s="17">
        <v>-102.267</v>
      </c>
    </row>
    <row r="105" spans="1:8" x14ac:dyDescent="0.25">
      <c r="A105" s="70">
        <v>105</v>
      </c>
      <c r="B105" t="s">
        <v>58</v>
      </c>
      <c r="C105" t="s">
        <v>59</v>
      </c>
      <c r="D105" s="19">
        <v>-0.83</v>
      </c>
      <c r="E105" s="19">
        <v>-0.59</v>
      </c>
      <c r="F105" s="19">
        <v>-0.55000000000000004</v>
      </c>
      <c r="G105" s="19">
        <v>-0.23</v>
      </c>
      <c r="H105" s="19">
        <v>-0.28999999999999998</v>
      </c>
    </row>
    <row r="106" spans="1:8" x14ac:dyDescent="0.25">
      <c r="A106" s="70">
        <v>106</v>
      </c>
    </row>
    <row r="107" spans="1:8" x14ac:dyDescent="0.25">
      <c r="A107" s="70">
        <v>107</v>
      </c>
      <c r="B107" s="16" t="s">
        <v>60</v>
      </c>
    </row>
    <row r="108" spans="1:8" x14ac:dyDescent="0.25">
      <c r="A108" s="70">
        <v>108</v>
      </c>
      <c r="B108" t="s">
        <v>61</v>
      </c>
      <c r="C108" t="s">
        <v>50</v>
      </c>
      <c r="D108" s="17">
        <v>64.647999999999996</v>
      </c>
      <c r="E108" s="17">
        <v>123.595</v>
      </c>
      <c r="F108" s="17">
        <v>254.40600000000001</v>
      </c>
      <c r="G108" s="17">
        <v>380.42899999999997</v>
      </c>
      <c r="H108" s="17">
        <v>603.11400000000003</v>
      </c>
    </row>
    <row r="109" spans="1:8" x14ac:dyDescent="0.25">
      <c r="A109" s="70">
        <v>109</v>
      </c>
      <c r="B109" t="s">
        <v>62</v>
      </c>
      <c r="C109" t="s">
        <v>50</v>
      </c>
      <c r="D109" s="17">
        <v>92.986000000000004</v>
      </c>
      <c r="E109" s="17">
        <v>143.60599999999999</v>
      </c>
      <c r="F109" s="17">
        <v>114.396</v>
      </c>
      <c r="G109" s="17">
        <v>185.03700000000001</v>
      </c>
      <c r="H109" s="17">
        <v>315.61700000000002</v>
      </c>
    </row>
    <row r="110" spans="1:8" x14ac:dyDescent="0.25">
      <c r="A110" s="70">
        <v>110</v>
      </c>
      <c r="B110" t="s">
        <v>63</v>
      </c>
      <c r="C110" s="2" t="s">
        <v>50</v>
      </c>
      <c r="D110" s="18">
        <f>D108-D109</f>
        <v>-28.338000000000008</v>
      </c>
      <c r="E110" s="18">
        <f t="shared" ref="E110" si="41">E108-E109</f>
        <v>-20.010999999999996</v>
      </c>
      <c r="F110" s="18">
        <f t="shared" ref="F110" si="42">F108-F109</f>
        <v>140.01</v>
      </c>
      <c r="G110" s="18">
        <f t="shared" ref="G110" si="43">G108-G109</f>
        <v>195.39199999999997</v>
      </c>
      <c r="H110" s="18">
        <f t="shared" ref="H110" si="44">H108-H109</f>
        <v>287.49700000000001</v>
      </c>
    </row>
    <row r="111" spans="1:8" x14ac:dyDescent="0.25">
      <c r="A111" s="70">
        <v>111</v>
      </c>
    </row>
    <row r="112" spans="1:8" x14ac:dyDescent="0.25">
      <c r="A112" s="70">
        <v>112</v>
      </c>
      <c r="B112" s="16" t="s">
        <v>64</v>
      </c>
    </row>
    <row r="113" spans="1:8" x14ac:dyDescent="0.25">
      <c r="A113" s="70">
        <v>113</v>
      </c>
      <c r="B113" t="s">
        <v>65</v>
      </c>
      <c r="C113" t="s">
        <v>50</v>
      </c>
      <c r="D113" s="17">
        <v>313.77699999999999</v>
      </c>
      <c r="E113" s="17">
        <v>204.178</v>
      </c>
      <c r="F113" s="17">
        <v>86.864000000000004</v>
      </c>
      <c r="G113" s="17">
        <v>147.691</v>
      </c>
      <c r="H113" s="17">
        <v>943.53599999999994</v>
      </c>
    </row>
    <row r="114" spans="1:8" x14ac:dyDescent="0.25">
      <c r="A114" s="70">
        <v>114</v>
      </c>
      <c r="B114" t="s">
        <v>66</v>
      </c>
      <c r="C114" t="s">
        <v>50</v>
      </c>
      <c r="D114" s="17">
        <v>1146.877</v>
      </c>
      <c r="E114" s="17">
        <v>1436.192</v>
      </c>
      <c r="F114" s="17">
        <v>1283.3620000000001</v>
      </c>
      <c r="G114" s="17">
        <v>1287.3209999999999</v>
      </c>
      <c r="H114" s="17">
        <v>1974.12</v>
      </c>
    </row>
    <row r="115" spans="1:8" x14ac:dyDescent="0.25">
      <c r="A115" s="70">
        <v>115</v>
      </c>
      <c r="B115" t="s">
        <v>67</v>
      </c>
      <c r="C115" t="s">
        <v>68</v>
      </c>
      <c r="D115" s="20">
        <v>312.32100000000003</v>
      </c>
      <c r="E115" s="20">
        <v>326.33199999999999</v>
      </c>
      <c r="F115" s="20">
        <v>333.65600000000001</v>
      </c>
      <c r="G115" s="20">
        <v>341.411</v>
      </c>
      <c r="H115" s="20">
        <v>348.42099999999999</v>
      </c>
    </row>
    <row r="116" spans="1:8" x14ac:dyDescent="0.25">
      <c r="A116" s="70">
        <v>116</v>
      </c>
    </row>
    <row r="117" spans="1:8" x14ac:dyDescent="0.25">
      <c r="A117" s="70">
        <v>117</v>
      </c>
      <c r="B117" s="16" t="s">
        <v>69</v>
      </c>
    </row>
    <row r="118" spans="1:8" x14ac:dyDescent="0.25">
      <c r="A118" s="70">
        <v>118</v>
      </c>
      <c r="B118" t="s">
        <v>70</v>
      </c>
      <c r="C118" t="s">
        <v>59</v>
      </c>
      <c r="D118" s="19"/>
      <c r="E118" s="19"/>
      <c r="F118" s="19"/>
      <c r="G118" s="19"/>
      <c r="H118" s="19">
        <v>216.17</v>
      </c>
    </row>
    <row r="119" spans="1:8" x14ac:dyDescent="0.25">
      <c r="A119" s="70">
        <v>119</v>
      </c>
      <c r="B119" t="s">
        <v>71</v>
      </c>
      <c r="C119" s="2" t="s">
        <v>50</v>
      </c>
      <c r="D119" s="18">
        <f>D118*D115</f>
        <v>0</v>
      </c>
      <c r="E119" s="18">
        <f t="shared" ref="E119" si="45">E118*E115</f>
        <v>0</v>
      </c>
      <c r="F119" s="18">
        <f t="shared" ref="F119" si="46">F118*F115</f>
        <v>0</v>
      </c>
      <c r="G119" s="18">
        <f t="shared" ref="G119" si="47">G118*G115</f>
        <v>0</v>
      </c>
      <c r="H119" s="18">
        <f t="shared" ref="H119" si="48">H118*H115</f>
        <v>75318.167569999991</v>
      </c>
    </row>
    <row r="120" spans="1:8" x14ac:dyDescent="0.25">
      <c r="A120" s="70">
        <v>120</v>
      </c>
      <c r="B120" t="s">
        <v>72</v>
      </c>
      <c r="C120" s="2" t="s">
        <v>50</v>
      </c>
      <c r="D120" s="18">
        <f>D119+D114-D113</f>
        <v>833.09999999999991</v>
      </c>
      <c r="E120" s="18">
        <f t="shared" ref="E120" si="49">E119+E114-E113</f>
        <v>1232.0140000000001</v>
      </c>
      <c r="F120" s="18">
        <f t="shared" ref="F120" si="50">F119+F114-F113</f>
        <v>1196.498</v>
      </c>
      <c r="G120" s="18">
        <f t="shared" ref="G120" si="51">G119+G114-G113</f>
        <v>1139.6299999999999</v>
      </c>
      <c r="H120" s="18">
        <f t="shared" ref="H120" si="52">H119+H114-H113</f>
        <v>76348.751569999993</v>
      </c>
    </row>
    <row r="121" spans="1:8" x14ac:dyDescent="0.25">
      <c r="A121" s="70">
        <v>121</v>
      </c>
    </row>
    <row r="122" spans="1:8" x14ac:dyDescent="0.25">
      <c r="A122" s="70">
        <v>122</v>
      </c>
    </row>
    <row r="123" spans="1:8" ht="17.25" x14ac:dyDescent="0.3">
      <c r="A123" s="70">
        <v>123</v>
      </c>
      <c r="B123" s="27" t="s">
        <v>80</v>
      </c>
      <c r="C123" s="28" t="s">
        <v>18</v>
      </c>
      <c r="D123" s="28" t="s">
        <v>73</v>
      </c>
    </row>
    <row r="124" spans="1:8" x14ac:dyDescent="0.25">
      <c r="A124" s="70">
        <v>124</v>
      </c>
      <c r="B124" s="14" t="s">
        <v>42</v>
      </c>
      <c r="C124" s="14" t="s">
        <v>32</v>
      </c>
      <c r="D124" s="15" t="s">
        <v>43</v>
      </c>
      <c r="E124" s="15" t="s">
        <v>44</v>
      </c>
      <c r="F124" s="15" t="s">
        <v>45</v>
      </c>
      <c r="G124" s="15" t="s">
        <v>46</v>
      </c>
      <c r="H124" s="15" t="s">
        <v>47</v>
      </c>
    </row>
    <row r="125" spans="1:8" x14ac:dyDescent="0.25">
      <c r="A125" s="70">
        <v>125</v>
      </c>
      <c r="B125" s="16" t="s">
        <v>48</v>
      </c>
    </row>
    <row r="126" spans="1:8" x14ac:dyDescent="0.25">
      <c r="A126" s="70">
        <v>126</v>
      </c>
      <c r="B126" t="s">
        <v>49</v>
      </c>
      <c r="C126" t="s">
        <v>50</v>
      </c>
      <c r="D126" s="17">
        <v>1541.8889999999999</v>
      </c>
      <c r="E126" s="17">
        <v>1905.8710000000001</v>
      </c>
      <c r="F126" s="17">
        <v>2225.0120000000002</v>
      </c>
      <c r="G126" s="17">
        <v>2865.5070000000001</v>
      </c>
      <c r="H126" s="17">
        <v>4475.4459999999999</v>
      </c>
    </row>
    <row r="127" spans="1:8" x14ac:dyDescent="0.25">
      <c r="A127" s="70">
        <v>127</v>
      </c>
      <c r="B127" t="s">
        <v>51</v>
      </c>
      <c r="C127" t="s">
        <v>50</v>
      </c>
      <c r="D127" s="17">
        <v>339.404</v>
      </c>
      <c r="E127" s="17">
        <v>408.54899999999998</v>
      </c>
      <c r="F127" s="17">
        <v>431.10500000000002</v>
      </c>
      <c r="G127" s="17">
        <v>565.99</v>
      </c>
      <c r="H127" s="17">
        <v>789.17700000000002</v>
      </c>
    </row>
    <row r="128" spans="1:8" x14ac:dyDescent="0.25">
      <c r="A128" s="70">
        <v>128</v>
      </c>
      <c r="B128" t="s">
        <v>52</v>
      </c>
      <c r="C128" s="2" t="s">
        <v>50</v>
      </c>
      <c r="D128" s="18">
        <f>D126-D127</f>
        <v>1202.4849999999999</v>
      </c>
      <c r="E128" s="18">
        <f t="shared" ref="E128" si="53">E126-E127</f>
        <v>1497.3220000000001</v>
      </c>
      <c r="F128" s="18">
        <f t="shared" ref="F128" si="54">F126-F127</f>
        <v>1793.9070000000002</v>
      </c>
      <c r="G128" s="18">
        <f t="shared" ref="G128" si="55">G126-G127</f>
        <v>2299.5169999999998</v>
      </c>
      <c r="H128" s="18">
        <f t="shared" ref="H128" si="56">H126-H127</f>
        <v>3686.2689999999998</v>
      </c>
    </row>
    <row r="129" spans="1:8" x14ac:dyDescent="0.25">
      <c r="A129" s="70">
        <v>129</v>
      </c>
      <c r="B129" t="s">
        <v>53</v>
      </c>
      <c r="C129" t="s">
        <v>50</v>
      </c>
      <c r="D129" s="17">
        <v>1613.5309999999999</v>
      </c>
      <c r="E129" s="17">
        <v>1658.5229999999999</v>
      </c>
      <c r="F129" s="17">
        <v>1673.941</v>
      </c>
      <c r="G129" s="17">
        <v>1989.114</v>
      </c>
      <c r="H129" s="17">
        <v>2272.2539999999999</v>
      </c>
    </row>
    <row r="130" spans="1:8" x14ac:dyDescent="0.25">
      <c r="A130" s="70">
        <v>130</v>
      </c>
      <c r="B130" t="s">
        <v>54</v>
      </c>
      <c r="C130" t="s">
        <v>50</v>
      </c>
      <c r="D130" s="17">
        <v>-411.04599999999999</v>
      </c>
      <c r="E130" s="17">
        <v>-161.20099999999999</v>
      </c>
      <c r="F130" s="17">
        <v>119.96599999999999</v>
      </c>
      <c r="G130" s="17">
        <v>310.40300000000002</v>
      </c>
      <c r="H130" s="17">
        <v>1414.0150000000001</v>
      </c>
    </row>
    <row r="131" spans="1:8" x14ac:dyDescent="0.25">
      <c r="A131" s="70">
        <v>131</v>
      </c>
      <c r="B131" t="s">
        <v>55</v>
      </c>
      <c r="C131" t="s">
        <v>50</v>
      </c>
      <c r="D131" s="17">
        <v>14.897</v>
      </c>
      <c r="E131" s="17">
        <v>22.521999999999998</v>
      </c>
      <c r="F131" s="17">
        <v>33.353999999999999</v>
      </c>
      <c r="G131" s="17">
        <v>31.587</v>
      </c>
      <c r="H131" s="17">
        <v>26.145</v>
      </c>
    </row>
    <row r="132" spans="1:8" x14ac:dyDescent="0.25">
      <c r="A132" s="70">
        <v>132</v>
      </c>
      <c r="B132" t="s">
        <v>56</v>
      </c>
      <c r="C132" s="2" t="s">
        <v>50</v>
      </c>
      <c r="D132" s="18">
        <f>D130+D131</f>
        <v>-396.149</v>
      </c>
      <c r="E132" s="18">
        <f t="shared" ref="E132" si="57">E130+E131</f>
        <v>-138.679</v>
      </c>
      <c r="F132" s="18">
        <f t="shared" ref="F132" si="58">F130+F131</f>
        <v>153.32</v>
      </c>
      <c r="G132" s="18">
        <f t="shared" ref="G132" si="59">G130+G131</f>
        <v>341.99</v>
      </c>
      <c r="H132" s="18">
        <f t="shared" ref="H132" si="60">H130+H131</f>
        <v>1440.16</v>
      </c>
    </row>
    <row r="133" spans="1:8" x14ac:dyDescent="0.25">
      <c r="A133" s="70">
        <v>133</v>
      </c>
      <c r="B133" t="s">
        <v>57</v>
      </c>
      <c r="C133" t="s">
        <v>50</v>
      </c>
      <c r="D133" s="17">
        <v>-520.37900000000002</v>
      </c>
      <c r="E133" s="17">
        <v>-373.70499999999998</v>
      </c>
      <c r="F133" s="17">
        <v>209.82499999999999</v>
      </c>
      <c r="G133" s="17">
        <v>462.19</v>
      </c>
      <c r="H133" s="17">
        <v>1625.0329999999999</v>
      </c>
    </row>
    <row r="134" spans="1:8" x14ac:dyDescent="0.25">
      <c r="A134" s="70">
        <v>134</v>
      </c>
      <c r="B134" t="s">
        <v>58</v>
      </c>
      <c r="C134" t="s">
        <v>59</v>
      </c>
      <c r="D134" s="19">
        <v>-0.27</v>
      </c>
      <c r="E134" s="19">
        <v>-0.18</v>
      </c>
      <c r="F134" s="19">
        <v>0.09</v>
      </c>
      <c r="G134" s="19">
        <v>0.19</v>
      </c>
      <c r="H134" s="19">
        <v>0.63</v>
      </c>
    </row>
    <row r="135" spans="1:8" x14ac:dyDescent="0.25">
      <c r="A135" s="70">
        <v>135</v>
      </c>
    </row>
    <row r="136" spans="1:8" x14ac:dyDescent="0.25">
      <c r="A136" s="70">
        <v>136</v>
      </c>
      <c r="B136" s="16" t="s">
        <v>60</v>
      </c>
    </row>
    <row r="137" spans="1:8" x14ac:dyDescent="0.25">
      <c r="A137" s="70">
        <v>137</v>
      </c>
      <c r="B137" t="s">
        <v>61</v>
      </c>
      <c r="C137" t="s">
        <v>50</v>
      </c>
      <c r="D137" s="17">
        <v>333.851</v>
      </c>
      <c r="E137" s="17">
        <v>223.73699999999999</v>
      </c>
      <c r="F137" s="17">
        <v>712.18299999999999</v>
      </c>
      <c r="G137" s="17">
        <v>1153.865</v>
      </c>
      <c r="H137" s="17">
        <v>2134.473</v>
      </c>
    </row>
    <row r="138" spans="1:8" x14ac:dyDescent="0.25">
      <c r="A138" s="70">
        <v>138</v>
      </c>
      <c r="B138" t="s">
        <v>62</v>
      </c>
      <c r="C138" t="s">
        <v>50</v>
      </c>
      <c r="D138" s="17">
        <v>12.627000000000001</v>
      </c>
      <c r="E138" s="17">
        <v>40.027000000000001</v>
      </c>
      <c r="F138" s="17">
        <v>15.114000000000001</v>
      </c>
      <c r="G138" s="17">
        <v>12.634</v>
      </c>
      <c r="H138" s="17">
        <v>33.881999999999998</v>
      </c>
    </row>
    <row r="139" spans="1:8" x14ac:dyDescent="0.25">
      <c r="A139" s="70">
        <v>139</v>
      </c>
      <c r="B139" t="s">
        <v>63</v>
      </c>
      <c r="C139" s="2" t="s">
        <v>50</v>
      </c>
      <c r="D139" s="18">
        <f>D137-D138</f>
        <v>321.22399999999999</v>
      </c>
      <c r="E139" s="18">
        <f t="shared" ref="E139" si="61">E137-E138</f>
        <v>183.70999999999998</v>
      </c>
      <c r="F139" s="18">
        <f t="shared" ref="F139" si="62">F137-F138</f>
        <v>697.06899999999996</v>
      </c>
      <c r="G139" s="18">
        <f t="shared" ref="G139" si="63">G137-G138</f>
        <v>1141.231</v>
      </c>
      <c r="H139" s="18">
        <f t="shared" ref="H139" si="64">H137-H138</f>
        <v>2100.5909999999999</v>
      </c>
    </row>
    <row r="140" spans="1:8" x14ac:dyDescent="0.25">
      <c r="A140" s="70">
        <v>140</v>
      </c>
    </row>
    <row r="141" spans="1:8" x14ac:dyDescent="0.25">
      <c r="A141" s="70">
        <v>141</v>
      </c>
      <c r="B141" s="16" t="s">
        <v>64</v>
      </c>
    </row>
    <row r="142" spans="1:8" x14ac:dyDescent="0.25">
      <c r="A142" s="70">
        <v>142</v>
      </c>
      <c r="B142" t="s">
        <v>65</v>
      </c>
      <c r="C142" t="s">
        <v>50</v>
      </c>
      <c r="D142" s="17">
        <v>2290.674</v>
      </c>
      <c r="E142" s="17">
        <v>2598.54</v>
      </c>
      <c r="F142" s="17">
        <v>831.04700000000003</v>
      </c>
      <c r="G142" s="17">
        <v>2098.5239999999999</v>
      </c>
      <c r="H142" s="17">
        <v>1423.796</v>
      </c>
    </row>
    <row r="143" spans="1:8" x14ac:dyDescent="0.25">
      <c r="A143" s="70">
        <v>143</v>
      </c>
      <c r="B143" t="s">
        <v>66</v>
      </c>
      <c r="C143" t="s">
        <v>50</v>
      </c>
      <c r="D143" s="17">
        <v>0</v>
      </c>
      <c r="E143" s="17">
        <v>0</v>
      </c>
      <c r="F143" s="17">
        <v>0</v>
      </c>
      <c r="G143" s="17">
        <v>0</v>
      </c>
      <c r="H143" s="17">
        <v>0</v>
      </c>
    </row>
    <row r="144" spans="1:8" x14ac:dyDescent="0.25">
      <c r="A144" s="70">
        <v>144</v>
      </c>
      <c r="B144" t="s">
        <v>67</v>
      </c>
      <c r="C144" t="s">
        <v>68</v>
      </c>
      <c r="D144" s="20">
        <v>1923.617</v>
      </c>
      <c r="E144" s="20">
        <v>2063.7930000000001</v>
      </c>
      <c r="F144" s="20">
        <v>2297.9270000000001</v>
      </c>
      <c r="G144" s="20">
        <v>2450.8180000000002</v>
      </c>
      <c r="H144" s="20">
        <v>2579.42</v>
      </c>
    </row>
    <row r="145" spans="1:8" x14ac:dyDescent="0.25">
      <c r="A145" s="70">
        <v>145</v>
      </c>
    </row>
    <row r="146" spans="1:8" x14ac:dyDescent="0.25">
      <c r="A146" s="70">
        <v>146</v>
      </c>
      <c r="B146" s="16" t="s">
        <v>69</v>
      </c>
    </row>
    <row r="147" spans="1:8" x14ac:dyDescent="0.25">
      <c r="A147" s="70">
        <v>147</v>
      </c>
      <c r="B147" t="s">
        <v>70</v>
      </c>
      <c r="C147" t="s">
        <v>59</v>
      </c>
      <c r="D147" s="19"/>
      <c r="E147" s="19"/>
      <c r="F147" s="19"/>
      <c r="G147" s="19"/>
      <c r="H147" s="19">
        <v>136.88</v>
      </c>
    </row>
    <row r="148" spans="1:8" x14ac:dyDescent="0.25">
      <c r="A148" s="70">
        <v>148</v>
      </c>
      <c r="B148" t="s">
        <v>71</v>
      </c>
      <c r="C148" s="2" t="s">
        <v>50</v>
      </c>
      <c r="D148" s="18">
        <f>D147*D144</f>
        <v>0</v>
      </c>
      <c r="E148" s="18">
        <f t="shared" ref="E148" si="65">E147*E144</f>
        <v>0</v>
      </c>
      <c r="F148" s="18">
        <f t="shared" ref="F148" si="66">F147*F144</f>
        <v>0</v>
      </c>
      <c r="G148" s="18">
        <f t="shared" ref="G148" si="67">G147*G144</f>
        <v>0</v>
      </c>
      <c r="H148" s="18">
        <f t="shared" ref="H148" si="68">H147*H144</f>
        <v>353071.00959999999</v>
      </c>
    </row>
    <row r="149" spans="1:8" x14ac:dyDescent="0.25">
      <c r="A149" s="70">
        <v>149</v>
      </c>
      <c r="B149" t="s">
        <v>72</v>
      </c>
      <c r="C149" s="2" t="s">
        <v>50</v>
      </c>
      <c r="D149" s="18">
        <f>D148+D143-D142</f>
        <v>-2290.674</v>
      </c>
      <c r="E149" s="18">
        <f t="shared" ref="E149" si="69">E148+E143-E142</f>
        <v>-2598.54</v>
      </c>
      <c r="F149" s="18">
        <f t="shared" ref="F149" si="70">F148+F143-F142</f>
        <v>-831.04700000000003</v>
      </c>
      <c r="G149" s="18">
        <f t="shared" ref="G149" si="71">G148+G143-G142</f>
        <v>-2098.5239999999999</v>
      </c>
      <c r="H149" s="18">
        <f t="shared" ref="H149" si="72">H148+H143-H142</f>
        <v>351647.21360000002</v>
      </c>
    </row>
    <row r="150" spans="1:8" x14ac:dyDescent="0.25">
      <c r="A150" s="70">
        <v>150</v>
      </c>
    </row>
    <row r="151" spans="1:8" x14ac:dyDescent="0.25">
      <c r="A151" s="70">
        <v>151</v>
      </c>
    </row>
    <row r="152" spans="1:8" ht="17.25" x14ac:dyDescent="0.3">
      <c r="A152" s="70">
        <v>152</v>
      </c>
      <c r="B152" s="29" t="s">
        <v>81</v>
      </c>
      <c r="C152" s="30" t="s">
        <v>21</v>
      </c>
      <c r="D152" s="30" t="s">
        <v>41</v>
      </c>
    </row>
    <row r="153" spans="1:8" x14ac:dyDescent="0.25">
      <c r="A153" s="70">
        <v>153</v>
      </c>
      <c r="B153" s="14" t="s">
        <v>42</v>
      </c>
      <c r="C153" s="14" t="s">
        <v>82</v>
      </c>
      <c r="D153" s="15" t="s">
        <v>44</v>
      </c>
      <c r="E153" s="15" t="s">
        <v>45</v>
      </c>
      <c r="F153" s="15" t="s">
        <v>46</v>
      </c>
      <c r="G153" s="15" t="s">
        <v>47</v>
      </c>
      <c r="H153" s="15" t="s">
        <v>78</v>
      </c>
    </row>
    <row r="154" spans="1:8" x14ac:dyDescent="0.25">
      <c r="A154" s="70">
        <v>154</v>
      </c>
      <c r="B154" s="16" t="s">
        <v>48</v>
      </c>
    </row>
    <row r="155" spans="1:8" x14ac:dyDescent="0.25">
      <c r="A155" s="70">
        <v>155</v>
      </c>
      <c r="B155" t="s">
        <v>49</v>
      </c>
      <c r="C155" t="s">
        <v>50</v>
      </c>
      <c r="D155" s="17">
        <v>873.78200000000004</v>
      </c>
      <c r="E155" s="17">
        <v>1284.04</v>
      </c>
      <c r="F155" s="17">
        <v>1683.011</v>
      </c>
      <c r="G155" s="17">
        <v>2006.443</v>
      </c>
      <c r="H155" s="17">
        <v>2460</v>
      </c>
    </row>
    <row r="156" spans="1:8" x14ac:dyDescent="0.25">
      <c r="A156" s="70">
        <v>156</v>
      </c>
      <c r="B156" t="s">
        <v>51</v>
      </c>
      <c r="C156" t="s">
        <v>50</v>
      </c>
      <c r="D156" s="17">
        <v>259.49200000000002</v>
      </c>
      <c r="E156" s="17">
        <v>349.30399999999997</v>
      </c>
      <c r="F156" s="17">
        <v>424.48500000000001</v>
      </c>
      <c r="G156" s="17">
        <v>535.29600000000005</v>
      </c>
      <c r="H156" s="17">
        <v>690</v>
      </c>
    </row>
    <row r="157" spans="1:8" x14ac:dyDescent="0.25">
      <c r="A157" s="70">
        <v>157</v>
      </c>
      <c r="B157" t="s">
        <v>52</v>
      </c>
      <c r="C157" s="2" t="s">
        <v>50</v>
      </c>
      <c r="D157" s="18">
        <f>D155-D156</f>
        <v>614.29</v>
      </c>
      <c r="E157" s="18">
        <f t="shared" ref="E157" si="73">E155-E156</f>
        <v>934.73599999999999</v>
      </c>
      <c r="F157" s="18">
        <f t="shared" ref="F157" si="74">F155-F156</f>
        <v>1258.5259999999998</v>
      </c>
      <c r="G157" s="18">
        <f t="shared" ref="G157" si="75">G155-G156</f>
        <v>1471.1469999999999</v>
      </c>
      <c r="H157" s="18">
        <f t="shared" ref="H157" si="76">H155-H156</f>
        <v>1770</v>
      </c>
    </row>
    <row r="158" spans="1:8" x14ac:dyDescent="0.25">
      <c r="A158" s="70">
        <v>158</v>
      </c>
      <c r="B158" t="s">
        <v>53</v>
      </c>
      <c r="C158" t="s">
        <v>50</v>
      </c>
      <c r="D158" s="17">
        <v>903.654</v>
      </c>
      <c r="E158" s="17">
        <v>1281.3910000000001</v>
      </c>
      <c r="F158" s="17">
        <v>1492.258</v>
      </c>
      <c r="G158" s="17">
        <v>1687.211</v>
      </c>
      <c r="H158" s="17">
        <v>1907</v>
      </c>
    </row>
    <row r="159" spans="1:8" x14ac:dyDescent="0.25">
      <c r="A159" s="70">
        <v>159</v>
      </c>
      <c r="B159" t="s">
        <v>54</v>
      </c>
      <c r="C159" t="s">
        <v>50</v>
      </c>
      <c r="D159" s="17">
        <v>-289.36399999999998</v>
      </c>
      <c r="E159" s="17">
        <v>-346.65499999999997</v>
      </c>
      <c r="F159" s="17">
        <v>-233.732</v>
      </c>
      <c r="G159" s="17">
        <v>-216.06399999999999</v>
      </c>
      <c r="H159" s="17">
        <v>-137</v>
      </c>
    </row>
    <row r="160" spans="1:8" x14ac:dyDescent="0.25">
      <c r="A160" s="70">
        <v>160</v>
      </c>
      <c r="B160" t="s">
        <v>55</v>
      </c>
      <c r="C160" t="s">
        <v>50</v>
      </c>
      <c r="D160" s="17">
        <v>13.670999999999999</v>
      </c>
      <c r="E160" s="17">
        <v>16.11</v>
      </c>
      <c r="F160" s="17">
        <v>18.939</v>
      </c>
      <c r="G160" s="17">
        <v>11.750999999999999</v>
      </c>
      <c r="H160" s="17">
        <v>13.5</v>
      </c>
    </row>
    <row r="161" spans="1:8" x14ac:dyDescent="0.25">
      <c r="A161" s="70">
        <v>161</v>
      </c>
      <c r="B161" t="s">
        <v>56</v>
      </c>
      <c r="C161" s="2" t="s">
        <v>50</v>
      </c>
      <c r="D161" s="18">
        <f>D159+D160</f>
        <v>-275.69299999999998</v>
      </c>
      <c r="E161" s="18">
        <f t="shared" ref="E161" si="77">E159+E160</f>
        <v>-330.54499999999996</v>
      </c>
      <c r="F161" s="18">
        <f t="shared" ref="F161" si="78">F159+F160</f>
        <v>-214.79300000000001</v>
      </c>
      <c r="G161" s="18">
        <f t="shared" ref="G161" si="79">G159+G160</f>
        <v>-204.31299999999999</v>
      </c>
      <c r="H161" s="18">
        <f t="shared" ref="H161" si="80">H159+H160</f>
        <v>-123.5</v>
      </c>
    </row>
    <row r="162" spans="1:8" x14ac:dyDescent="0.25">
      <c r="A162" s="70">
        <v>162</v>
      </c>
      <c r="B162" t="s">
        <v>57</v>
      </c>
      <c r="C162" t="s">
        <v>50</v>
      </c>
      <c r="D162" s="17">
        <v>-306.86599999999999</v>
      </c>
      <c r="E162" s="17">
        <v>-345.39800000000002</v>
      </c>
      <c r="F162" s="17">
        <v>-176.6</v>
      </c>
      <c r="G162" s="17">
        <v>-129.072</v>
      </c>
      <c r="H162" s="17">
        <v>-45</v>
      </c>
    </row>
    <row r="163" spans="1:8" x14ac:dyDescent="0.25">
      <c r="A163" s="70">
        <v>163</v>
      </c>
      <c r="B163" t="s">
        <v>58</v>
      </c>
      <c r="C163" t="s">
        <v>59</v>
      </c>
      <c r="D163" s="19">
        <v>-4.75</v>
      </c>
      <c r="E163" s="19">
        <v>-5.03</v>
      </c>
      <c r="F163" s="19">
        <v>-2.48</v>
      </c>
      <c r="G163" s="19">
        <v>-1.73</v>
      </c>
      <c r="H163" s="19">
        <v>-0.52</v>
      </c>
    </row>
    <row r="164" spans="1:8" x14ac:dyDescent="0.25">
      <c r="A164" s="70">
        <v>164</v>
      </c>
    </row>
    <row r="165" spans="1:8" x14ac:dyDescent="0.25">
      <c r="A165" s="70">
        <v>165</v>
      </c>
      <c r="B165" s="16" t="s">
        <v>60</v>
      </c>
    </row>
    <row r="166" spans="1:8" x14ac:dyDescent="0.25">
      <c r="A166" s="70">
        <v>166</v>
      </c>
      <c r="B166" t="s">
        <v>61</v>
      </c>
      <c r="C166" t="s">
        <v>50</v>
      </c>
      <c r="D166" s="17">
        <v>6.98</v>
      </c>
      <c r="E166" s="17">
        <v>-12.97</v>
      </c>
      <c r="F166" s="17">
        <v>121.477</v>
      </c>
      <c r="G166" s="17">
        <v>150.191</v>
      </c>
      <c r="H166" s="17">
        <v>380</v>
      </c>
    </row>
    <row r="167" spans="1:8" x14ac:dyDescent="0.25">
      <c r="A167" s="70">
        <v>167</v>
      </c>
      <c r="B167" t="s">
        <v>62</v>
      </c>
      <c r="C167" t="s">
        <v>50</v>
      </c>
      <c r="D167" s="17">
        <v>8.0719999999999992</v>
      </c>
      <c r="E167" s="17">
        <v>7.2439999999999998</v>
      </c>
      <c r="F167" s="17">
        <v>6.0739999999999998</v>
      </c>
      <c r="G167" s="17">
        <v>29.55</v>
      </c>
      <c r="H167" s="17">
        <v>35</v>
      </c>
    </row>
    <row r="168" spans="1:8" x14ac:dyDescent="0.25">
      <c r="A168" s="70">
        <v>168</v>
      </c>
      <c r="B168" t="s">
        <v>63</v>
      </c>
      <c r="C168" s="2" t="s">
        <v>50</v>
      </c>
      <c r="D168" s="18">
        <f>D166-D167</f>
        <v>-1.0919999999999987</v>
      </c>
      <c r="E168" s="18">
        <f t="shared" ref="E168" si="81">E166-E167</f>
        <v>-20.213999999999999</v>
      </c>
      <c r="F168" s="18">
        <f t="shared" ref="F168" si="82">F166-F167</f>
        <v>115.40300000000001</v>
      </c>
      <c r="G168" s="18">
        <f t="shared" ref="G168" si="83">G166-G167</f>
        <v>120.64100000000001</v>
      </c>
      <c r="H168" s="18">
        <f t="shared" ref="H168" si="84">H166-H167</f>
        <v>345</v>
      </c>
    </row>
    <row r="169" spans="1:8" x14ac:dyDescent="0.25">
      <c r="A169" s="70">
        <v>169</v>
      </c>
    </row>
    <row r="170" spans="1:8" x14ac:dyDescent="0.25">
      <c r="A170" s="70">
        <v>170</v>
      </c>
      <c r="B170" s="16" t="s">
        <v>64</v>
      </c>
    </row>
    <row r="171" spans="1:8" x14ac:dyDescent="0.25">
      <c r="A171" s="70">
        <v>171</v>
      </c>
      <c r="B171" t="s">
        <v>65</v>
      </c>
      <c r="C171" t="s">
        <v>50</v>
      </c>
      <c r="D171" s="17">
        <v>473.904</v>
      </c>
      <c r="E171" s="17">
        <v>455.82600000000002</v>
      </c>
      <c r="F171" s="17">
        <v>802.95899999999995</v>
      </c>
      <c r="G171" s="17">
        <v>490.13299999999998</v>
      </c>
      <c r="H171" s="17">
        <v>490</v>
      </c>
    </row>
    <row r="172" spans="1:8" x14ac:dyDescent="0.25">
      <c r="A172" s="70">
        <v>172</v>
      </c>
      <c r="B172" t="s">
        <v>66</v>
      </c>
      <c r="C172" t="s">
        <v>50</v>
      </c>
      <c r="D172" s="17">
        <v>1136.521</v>
      </c>
      <c r="E172" s="17">
        <v>1139.8800000000001</v>
      </c>
      <c r="F172" s="17">
        <v>1143.2729999999999</v>
      </c>
      <c r="G172" s="17">
        <v>0</v>
      </c>
      <c r="H172" s="17">
        <v>0</v>
      </c>
    </row>
    <row r="173" spans="1:8" x14ac:dyDescent="0.25">
      <c r="A173" s="70">
        <v>173</v>
      </c>
      <c r="B173" t="s">
        <v>67</v>
      </c>
      <c r="C173" t="s">
        <v>68</v>
      </c>
      <c r="D173" s="20">
        <v>64.563000000000002</v>
      </c>
      <c r="E173" s="20">
        <v>68.628</v>
      </c>
      <c r="F173" s="20">
        <v>71.248999999999995</v>
      </c>
      <c r="G173" s="20">
        <v>74.555000000000007</v>
      </c>
      <c r="H173" s="20">
        <v>86.5</v>
      </c>
    </row>
    <row r="174" spans="1:8" x14ac:dyDescent="0.25">
      <c r="A174" s="70">
        <v>174</v>
      </c>
    </row>
    <row r="175" spans="1:8" x14ac:dyDescent="0.25">
      <c r="A175" s="70">
        <v>175</v>
      </c>
      <c r="B175" s="16" t="s">
        <v>69</v>
      </c>
    </row>
    <row r="176" spans="1:8" x14ac:dyDescent="0.25">
      <c r="A176" s="70">
        <v>176</v>
      </c>
      <c r="B176" t="s">
        <v>70</v>
      </c>
      <c r="C176" t="s">
        <v>59</v>
      </c>
      <c r="D176" s="19"/>
      <c r="E176" s="19"/>
      <c r="F176" s="19"/>
      <c r="G176" s="19"/>
      <c r="H176" s="19">
        <v>326.13</v>
      </c>
    </row>
    <row r="177" spans="1:8" x14ac:dyDescent="0.25">
      <c r="A177" s="70">
        <v>177</v>
      </c>
      <c r="B177" t="s">
        <v>71</v>
      </c>
      <c r="C177" s="2" t="s">
        <v>50</v>
      </c>
      <c r="D177" s="18">
        <f>D176*D173</f>
        <v>0</v>
      </c>
      <c r="E177" s="18">
        <f t="shared" ref="E177" si="85">E176*E173</f>
        <v>0</v>
      </c>
      <c r="F177" s="18">
        <f t="shared" ref="F177" si="86">F176*F173</f>
        <v>0</v>
      </c>
      <c r="G177" s="18">
        <f t="shared" ref="G177" si="87">G176*G173</f>
        <v>0</v>
      </c>
      <c r="H177" s="18">
        <f t="shared" ref="H177" si="88">H176*H173</f>
        <v>28210.244999999999</v>
      </c>
    </row>
    <row r="178" spans="1:8" x14ac:dyDescent="0.25">
      <c r="A178" s="70">
        <v>178</v>
      </c>
      <c r="B178" t="s">
        <v>72</v>
      </c>
      <c r="C178" s="2" t="s">
        <v>50</v>
      </c>
      <c r="D178" s="18">
        <f>D177+D172-D171</f>
        <v>662.61699999999996</v>
      </c>
      <c r="E178" s="18">
        <f t="shared" ref="E178" si="89">E177+E172-E171</f>
        <v>684.05400000000009</v>
      </c>
      <c r="F178" s="18">
        <f t="shared" ref="F178" si="90">F177+F172-F171</f>
        <v>340.31399999999996</v>
      </c>
      <c r="G178" s="18">
        <f t="shared" ref="G178" si="91">G177+G172-G171</f>
        <v>-490.13299999999998</v>
      </c>
      <c r="H178" s="18">
        <f t="shared" ref="H178" si="92">H177+H172-H171</f>
        <v>27720.244999999999</v>
      </c>
    </row>
  </sheetData>
  <dataValidations count="1">
    <dataValidation type="list" allowBlank="1" showInputMessage="1" showErrorMessage="1" errorTitle="Invalid Revenue Basis" error="Choose FY (fiscal year) or LTM (trailing twelve months)." promptTitle="Revenue Basis" prompt="FY = latest fiscal-year filing (all metrics aligned)_x000a_LTM = trailing 12 months for revenue, YoY, and EV/Revenue only" sqref="K15" xr:uid="{1E6F7CAC-C92F-4571-A910-CBAE61A4E32B}">
      <formula1>"FY,LTM"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24831-8F09-4218-A663-63CBB50225A7}">
  <dimension ref="B1:Y18"/>
  <sheetViews>
    <sheetView workbookViewId="0">
      <selection activeCell="E23" sqref="E23"/>
    </sheetView>
  </sheetViews>
  <sheetFormatPr defaultRowHeight="15" x14ac:dyDescent="0.25"/>
  <cols>
    <col min="2" max="2" width="15.140625" customWidth="1"/>
    <col min="4" max="4" width="16.85546875" bestFit="1" customWidth="1"/>
    <col min="5" max="5" width="9" bestFit="1" customWidth="1"/>
    <col min="6" max="6" width="12" bestFit="1" customWidth="1"/>
    <col min="7" max="8" width="12.7109375" bestFit="1" customWidth="1"/>
    <col min="9" max="9" width="14" bestFit="1" customWidth="1"/>
    <col min="10" max="10" width="12" bestFit="1" customWidth="1"/>
    <col min="11" max="11" width="11.140625" bestFit="1" customWidth="1"/>
    <col min="12" max="12" width="11" bestFit="1" customWidth="1"/>
    <col min="13" max="13" width="12" bestFit="1" customWidth="1"/>
    <col min="14" max="15" width="12.7109375" bestFit="1" customWidth="1"/>
    <col min="16" max="16" width="12" bestFit="1" customWidth="1"/>
    <col min="17" max="17" width="16.42578125" bestFit="1" customWidth="1"/>
    <col min="19" max="19" width="10.5703125" bestFit="1" customWidth="1"/>
    <col min="22" max="22" width="17.7109375" bestFit="1" customWidth="1"/>
    <col min="23" max="23" width="17.42578125" bestFit="1" customWidth="1"/>
    <col min="24" max="24" width="13.85546875" bestFit="1" customWidth="1"/>
    <col min="25" max="25" width="9.85546875" bestFit="1" customWidth="1"/>
  </cols>
  <sheetData>
    <row r="1" spans="2:25" ht="18.75" x14ac:dyDescent="0.3">
      <c r="B1" s="31" t="s">
        <v>84</v>
      </c>
    </row>
    <row r="2" spans="2:25" x14ac:dyDescent="0.25">
      <c r="B2" s="32" t="s">
        <v>85</v>
      </c>
    </row>
    <row r="4" spans="2:25" ht="15.75" thickBot="1" x14ac:dyDescent="0.3">
      <c r="B4" s="67" t="s">
        <v>86</v>
      </c>
      <c r="C4" s="68" t="s">
        <v>87</v>
      </c>
      <c r="D4" s="67" t="s">
        <v>88</v>
      </c>
      <c r="E4" s="69" t="s">
        <v>49</v>
      </c>
      <c r="F4" s="69" t="s">
        <v>89</v>
      </c>
      <c r="G4" s="69" t="s">
        <v>90</v>
      </c>
      <c r="H4" s="69" t="s">
        <v>91</v>
      </c>
      <c r="I4" s="69" t="s">
        <v>92</v>
      </c>
      <c r="J4" s="69" t="s">
        <v>93</v>
      </c>
      <c r="K4" s="69" t="s">
        <v>94</v>
      </c>
      <c r="L4" s="69" t="s">
        <v>95</v>
      </c>
      <c r="M4" s="69" t="s">
        <v>96</v>
      </c>
      <c r="N4" s="69" t="s">
        <v>97</v>
      </c>
      <c r="O4" s="69" t="s">
        <v>98</v>
      </c>
      <c r="P4" s="69" t="s">
        <v>99</v>
      </c>
      <c r="Q4" s="69" t="s">
        <v>100</v>
      </c>
      <c r="R4" s="229" t="s">
        <v>365</v>
      </c>
      <c r="S4" s="229" t="s">
        <v>366</v>
      </c>
      <c r="T4" s="229" t="s">
        <v>367</v>
      </c>
      <c r="U4" s="229" t="s">
        <v>368</v>
      </c>
      <c r="V4" s="145" t="s">
        <v>369</v>
      </c>
      <c r="W4" s="145" t="s">
        <v>370</v>
      </c>
      <c r="X4" s="145" t="s">
        <v>371</v>
      </c>
      <c r="Y4" s="143" t="s">
        <v>372</v>
      </c>
    </row>
    <row r="5" spans="2:25" x14ac:dyDescent="0.25">
      <c r="B5" s="41" t="s">
        <v>101</v>
      </c>
      <c r="C5" s="42" t="s">
        <v>5</v>
      </c>
      <c r="D5" s="42" t="s">
        <v>6</v>
      </c>
      <c r="E5" s="36">
        <f>IF(UPPER('Data Input'!$K$15)="LTM",'Data Input'!O8,'Data Input'!H10)</f>
        <v>215938</v>
      </c>
      <c r="F5" s="37">
        <f>IF(UPPER('Data Input'!$K$15)="LTM",'Data Input'!N8,'Data Input'!H10/'Data Input'!G10-1)</f>
        <v>0.65473535790094783</v>
      </c>
      <c r="G5" s="37">
        <f>('Data Input'!H10/'Data Input'!E10)^(1/3)-1</f>
        <v>1.0004509499443963</v>
      </c>
      <c r="H5" s="37">
        <f>'Data Input'!H12/'Data Input'!H10</f>
        <v>0.71068084357547079</v>
      </c>
      <c r="I5" s="37">
        <f>'Data Input'!H16/'Data Input'!H10</f>
        <v>0.61698265242801176</v>
      </c>
      <c r="J5" s="37">
        <f>'Data Input'!H23/'Data Input'!H10</f>
        <v>0.44770258129648327</v>
      </c>
      <c r="K5" s="38">
        <f>'Data Input'!H32</f>
        <v>5253350.2</v>
      </c>
      <c r="L5" s="38">
        <f>'Data Input'!H33</f>
        <v>5251213.2</v>
      </c>
      <c r="M5" s="39">
        <f t="shared" ref="M5:M10" si="0">L5/E5</f>
        <v>24.318152432642705</v>
      </c>
      <c r="N5" s="39">
        <f>L5/'Data Input'!H16</f>
        <v>39.414645350146365</v>
      </c>
      <c r="O5" s="39">
        <f>'Data Input'!H31/'Data Input'!H18</f>
        <v>43.734693877551017</v>
      </c>
      <c r="P5" s="37">
        <f>'Data Input'!H23/K5</f>
        <v>1.8402732793256386E-2</v>
      </c>
      <c r="Q5" s="40">
        <f>('Data Input'!H27-'Data Input'!H26)/'Data Input'!H16</f>
        <v>-1.6039930946483524E-2</v>
      </c>
      <c r="R5" s="37">
        <f>'Data Input'!U13/'Data Input'!H10</f>
        <v>8.2958997490020281E-2</v>
      </c>
      <c r="S5" s="37" t="str">
        <f>IF('Data Input'!U20=0,"incl in G&amp;A",'Data Input'!U20/'Data Input'!H10)</f>
        <v>incl in G&amp;A</v>
      </c>
      <c r="T5" s="37">
        <f>'Data Input'!U27/'Data Input'!H10</f>
        <v>2.390500977132325E-2</v>
      </c>
      <c r="U5" s="37">
        <f>'Data Input'!U34/'Data Input'!H10</f>
        <v>2.8346099343330031E-2</v>
      </c>
      <c r="V5" s="37">
        <f>'Data Input'!U48</f>
        <v>0.65938834295029125</v>
      </c>
      <c r="W5" s="36">
        <f>'Data Input'!U51</f>
        <v>145230</v>
      </c>
      <c r="X5" s="100">
        <f>L5/W5</f>
        <v>36.157909522825861</v>
      </c>
      <c r="Y5" s="37">
        <f>'Data Input'!U65</f>
        <v>1.3141237008512392</v>
      </c>
    </row>
    <row r="6" spans="2:25" x14ac:dyDescent="0.25">
      <c r="B6" s="43" t="s">
        <v>102</v>
      </c>
      <c r="C6" s="44" t="s">
        <v>8</v>
      </c>
      <c r="D6" s="44" t="s">
        <v>103</v>
      </c>
      <c r="E6" s="36">
        <f>IF(UPPER('Data Input'!$K$15)="LTM",'Data Input'!O9,'Data Input'!H39)</f>
        <v>122420</v>
      </c>
      <c r="F6" s="37">
        <f>IF(UPPER('Data Input'!$K$15)="LTM",'Data Input'!N9,'Data Input'!H39/'Data Input'!G39-1)</f>
        <v>0.35901420959147434</v>
      </c>
      <c r="G6" s="37">
        <f>('Data Input'!H39/'Data Input'!E39)^(1/3)-1</f>
        <v>0.17284787229042031</v>
      </c>
      <c r="H6" s="37">
        <f>'Data Input'!H41/'Data Input'!H39</f>
        <v>0.5989952622120569</v>
      </c>
      <c r="I6" s="37">
        <f>'Data Input'!H45/'Data Input'!H39</f>
        <v>0.61010455807874531</v>
      </c>
      <c r="J6" s="37">
        <f>'Data Input'!H52/'Data Input'!H39</f>
        <v>0.37412187551053749</v>
      </c>
      <c r="K6" s="38">
        <f>'Data Input'!H61</f>
        <v>2100672.36</v>
      </c>
      <c r="L6" s="38">
        <f>'Data Input'!H62</f>
        <v>2041672.3599999999</v>
      </c>
      <c r="M6" s="39">
        <f t="shared" si="0"/>
        <v>16.677604639764745</v>
      </c>
      <c r="N6" s="39">
        <f>L6/'Data Input'!H45</f>
        <v>27.335649961841767</v>
      </c>
      <c r="O6" s="39">
        <f>'Data Input'!H60/'Data Input'!H47</f>
        <v>37.983098591549293</v>
      </c>
      <c r="P6" s="37">
        <f>'Data Input'!H52/K6</f>
        <v>2.1802543258102373E-2</v>
      </c>
      <c r="Q6" s="40">
        <f>('Data Input'!H56-'Data Input'!H55)/'Data Input'!H45</f>
        <v>-0.78994229404597727</v>
      </c>
      <c r="R6" s="37">
        <f>'Data Input'!V13/'Data Input'!H39</f>
        <v>6.2898219245221362E-2</v>
      </c>
      <c r="S6" s="37">
        <f>'Data Input'!V20/'Data Input'!H39</f>
        <v>2.2055219735337365E-3</v>
      </c>
      <c r="T6" s="37">
        <f>'Data Input'!V27/'Data Input'!H39</f>
        <v>2.3688939715732722E-2</v>
      </c>
      <c r="U6" s="37">
        <f>'Data Input'!V34/'Data Input'!H39</f>
        <v>7.3517399117791209E-4</v>
      </c>
      <c r="V6" s="37">
        <f>'Data Input'!V48</f>
        <v>0.50799705930403527</v>
      </c>
      <c r="W6" s="36">
        <f>'Data Input'!V51</f>
        <v>74689</v>
      </c>
      <c r="X6" s="100">
        <f>L6/W6</f>
        <v>27.335649961841767</v>
      </c>
      <c r="Y6" s="37">
        <f>'Data Input'!V65</f>
        <v>0.86701126889550961</v>
      </c>
    </row>
    <row r="7" spans="2:25" x14ac:dyDescent="0.25">
      <c r="B7" s="45" t="s">
        <v>104</v>
      </c>
      <c r="C7" s="46" t="s">
        <v>11</v>
      </c>
      <c r="D7" s="46" t="s">
        <v>12</v>
      </c>
      <c r="E7" s="36">
        <f>IF(UPPER('Data Input'!$K$15)="LTM",'Data Input'!O10,'Data Input'!H68)</f>
        <v>10229.9</v>
      </c>
      <c r="F7" s="37">
        <f>IF(UPPER('Data Input'!$K$15)="LTM",'Data Input'!N10,'Data Input'!H68/'Data Input'!G68-1)</f>
        <v>0.27685414014328869</v>
      </c>
      <c r="G7" s="37">
        <f>('Data Input'!H68/'Data Input'!E68)^(1/3)-1</f>
        <v>0.21585434016498239</v>
      </c>
      <c r="H7" s="37">
        <f>'Data Input'!H70/'Data Input'!H68</f>
        <v>0.36317070548099201</v>
      </c>
      <c r="I7" s="37">
        <f>'Data Input'!H74/'Data Input'!H68</f>
        <v>0.20902452614395059</v>
      </c>
      <c r="J7" s="37">
        <f>'Data Input'!H81/'Data Input'!H68</f>
        <v>0.18512399925707976</v>
      </c>
      <c r="K7" s="38">
        <f>'Data Input'!H90</f>
        <v>127938.62199999999</v>
      </c>
      <c r="L7" s="38">
        <f>'Data Input'!H91</f>
        <v>129123.22199999999</v>
      </c>
      <c r="M7" s="39">
        <f t="shared" si="0"/>
        <v>12.622139219347208</v>
      </c>
      <c r="N7" s="39">
        <f>L7/'Data Input'!H74</f>
        <v>60.385924332413595</v>
      </c>
      <c r="O7" s="39">
        <f>'Data Input'!H89/'Data Input'!H76</f>
        <v>96.029325513196468</v>
      </c>
      <c r="P7" s="37">
        <f>'Data Input'!H81/K7</f>
        <v>1.4802410487116238E-2</v>
      </c>
      <c r="Q7" s="40">
        <f>('Data Input'!H85-'Data Input'!H84)/'Data Input'!H74</f>
        <v>0.55399148856568292</v>
      </c>
      <c r="R7" s="37">
        <f>'Data Input'!W13/'Data Input'!H68</f>
        <v>4.5943753115866237E-2</v>
      </c>
      <c r="S7" s="37">
        <f>'Data Input'!W20/'Data Input'!H68</f>
        <v>0.10557287950028837</v>
      </c>
      <c r="T7" s="37">
        <f>'Data Input'!W27/'Data Input'!H68</f>
        <v>8.5044819597454524E-2</v>
      </c>
      <c r="U7" s="37">
        <f>'Data Input'!W34/'Data Input'!H68</f>
        <v>9.7752666203970717E-3</v>
      </c>
      <c r="V7" s="37">
        <f>'Data Input'!W48</f>
        <v>0.22971876557933119</v>
      </c>
      <c r="W7" s="36">
        <f>'Data Input'!W51</f>
        <v>2658.6</v>
      </c>
      <c r="X7" s="100">
        <f>L7/W7</f>
        <v>48.568126833671855</v>
      </c>
      <c r="Y7" s="37">
        <f>'Data Input'!W65</f>
        <v>0.50657290572261982</v>
      </c>
    </row>
    <row r="8" spans="2:25" x14ac:dyDescent="0.25">
      <c r="B8" s="47" t="s">
        <v>105</v>
      </c>
      <c r="C8" s="48" t="s">
        <v>14</v>
      </c>
      <c r="D8" s="48" t="s">
        <v>15</v>
      </c>
      <c r="E8" s="36">
        <f>IF(UPPER('Data Input'!$K$15)="LTM",'Data Input'!O11,'Data Input'!H97)</f>
        <v>2167.9369999999999</v>
      </c>
      <c r="F8" s="37">
        <f>IF(UPPER('Data Input'!$K$15)="LTM",'Data Input'!N11,'Data Input'!H97/'Data Input'!G97-1)</f>
        <v>0.29845666035387564</v>
      </c>
      <c r="G8" s="37">
        <f>('Data Input'!H97/'Data Input'!E97)^(1/3)-1</f>
        <v>0.30510334305337783</v>
      </c>
      <c r="H8" s="37">
        <f>'Data Input'!H99/'Data Input'!H97</f>
        <v>0.74513788915452794</v>
      </c>
      <c r="I8" s="37">
        <f>'Data Input'!H103/'Data Input'!H97</f>
        <v>-8.055123373050057E-3</v>
      </c>
      <c r="J8" s="37">
        <f>'Data Input'!H110/'Data Input'!H97</f>
        <v>0.13261317095469105</v>
      </c>
      <c r="K8" s="38">
        <f>'Data Input'!H119</f>
        <v>75318.167569999991</v>
      </c>
      <c r="L8" s="38">
        <f>'Data Input'!H120</f>
        <v>76348.751569999993</v>
      </c>
      <c r="M8" s="39">
        <f t="shared" si="0"/>
        <v>35.2172372029261</v>
      </c>
      <c r="N8" s="39">
        <f>IFERROR(L8/'Data Input'!H103,"n/m")</f>
        <v>-4372.0295235641006</v>
      </c>
      <c r="O8" s="40">
        <f>IFERROR('Data Input'!H118/'Data Input'!H105,"n/m")</f>
        <v>-745.41379310344826</v>
      </c>
      <c r="P8" s="37">
        <f>'Data Input'!H110/K8</f>
        <v>3.8171002996428855E-3</v>
      </c>
      <c r="Q8" s="40">
        <f>('Data Input'!H114-'Data Input'!H113)/'Data Input'!H103</f>
        <v>-59.015289469163292</v>
      </c>
      <c r="R8" s="37">
        <f>'Data Input'!X13/'Data Input'!H97</f>
        <v>0.2942889945602663</v>
      </c>
      <c r="S8" s="37">
        <f>'Data Input'!X20/'Data Input'!H97</f>
        <v>0.31827493142097768</v>
      </c>
      <c r="T8" s="37">
        <f>'Data Input'!X27/'Data Input'!H97</f>
        <v>0.12454236446907821</v>
      </c>
      <c r="U8" s="37">
        <f>'Data Input'!X34/'Data Input'!H97</f>
        <v>0.15683112562772811</v>
      </c>
      <c r="V8" s="37">
        <f>'Data Input'!X48</f>
        <v>0.11393320008837896</v>
      </c>
      <c r="W8" s="36">
        <f>'Data Input'!X51</f>
        <v>436.74199999999996</v>
      </c>
      <c r="X8" s="100">
        <f>IFERROR(L8/W8,"n/m")</f>
        <v>174.81431043957301</v>
      </c>
      <c r="Y8" s="37">
        <f>'Data Input'!X65</f>
        <v>0.41238986044225456</v>
      </c>
    </row>
    <row r="9" spans="2:25" x14ac:dyDescent="0.25">
      <c r="B9" s="49" t="s">
        <v>106</v>
      </c>
      <c r="C9" s="50" t="s">
        <v>17</v>
      </c>
      <c r="D9" s="50" t="s">
        <v>107</v>
      </c>
      <c r="E9" s="36">
        <f>IF(UPPER('Data Input'!$K$15)="LTM",'Data Input'!O12,'Data Input'!H126)</f>
        <v>4475.4459999999999</v>
      </c>
      <c r="F9" s="37">
        <f>IF(UPPER('Data Input'!$K$15)="LTM",'Data Input'!N12,'Data Input'!H126/'Data Input'!G126-1)</f>
        <v>0.56183390932215471</v>
      </c>
      <c r="G9" s="37">
        <f>('Data Input'!H126/'Data Input'!E126)^(1/3)-1</f>
        <v>0.32917125287657845</v>
      </c>
      <c r="H9" s="37">
        <f>'Data Input'!H128/'Data Input'!H126</f>
        <v>0.8236651721415027</v>
      </c>
      <c r="I9" s="37">
        <f>'Data Input'!H132/'Data Input'!H126</f>
        <v>0.32179139241094634</v>
      </c>
      <c r="J9" s="37">
        <f>'Data Input'!H139/'Data Input'!H126</f>
        <v>0.4693590314797676</v>
      </c>
      <c r="K9" s="38">
        <f>'Data Input'!H148</f>
        <v>353071.00959999999</v>
      </c>
      <c r="L9" s="38">
        <f>'Data Input'!H149</f>
        <v>351647.21360000002</v>
      </c>
      <c r="M9" s="39">
        <f t="shared" si="0"/>
        <v>78.572552009341649</v>
      </c>
      <c r="N9" s="39">
        <f>L9/'Data Input'!H132</f>
        <v>244.17232363070769</v>
      </c>
      <c r="O9" s="39">
        <f>'Data Input'!H147/'Data Input'!H134</f>
        <v>217.26984126984127</v>
      </c>
      <c r="P9" s="37">
        <f>'Data Input'!H139/K9</f>
        <v>5.9494859189368008E-3</v>
      </c>
      <c r="Q9" s="40">
        <f>('Data Input'!H143-'Data Input'!H142)/'Data Input'!H132</f>
        <v>-0.98863737362515269</v>
      </c>
      <c r="R9" s="37">
        <f>'Data Input'!Y13/'Data Input'!H126</f>
        <v>0.1367461477582346</v>
      </c>
      <c r="S9" s="37">
        <f>'Data Input'!Y20/'Data Input'!H126</f>
        <v>0.17093268469779324</v>
      </c>
      <c r="T9" s="37">
        <f>'Data Input'!Y27/'Data Input'!H126</f>
        <v>0.19998006902552282</v>
      </c>
      <c r="U9" s="37">
        <f>'Data Input'!Y34/'Data Input'!H126</f>
        <v>0.21226934701033148</v>
      </c>
      <c r="V9" s="37">
        <f>'Data Input'!Y48</f>
        <v>0.40197111081219616</v>
      </c>
      <c r="W9" s="36">
        <f>'Data Input'!Y51</f>
        <v>1825.145</v>
      </c>
      <c r="X9" s="100">
        <f>L9/W9</f>
        <v>192.66809683614179</v>
      </c>
      <c r="Y9" s="37">
        <f>'Data Input'!Y65</f>
        <v>0.96380502013435088</v>
      </c>
    </row>
    <row r="10" spans="2:25" x14ac:dyDescent="0.25">
      <c r="B10" s="55" t="s">
        <v>108</v>
      </c>
      <c r="C10" s="56" t="s">
        <v>20</v>
      </c>
      <c r="D10" s="56" t="s">
        <v>109</v>
      </c>
      <c r="E10" s="57">
        <f>IF(UPPER('Data Input'!$K$15)="LTM",'Data Input'!O13,'Data Input'!H155)</f>
        <v>2460</v>
      </c>
      <c r="F10" s="58">
        <f>IF(UPPER('Data Input'!$K$15)="LTM",'Data Input'!N13,'Data Input'!H155/'Data Input'!G155-1)</f>
        <v>0.22605027902611741</v>
      </c>
      <c r="G10" s="58">
        <f>('Data Input'!H155/'Data Input'!E155)^(1/3)-1</f>
        <v>0.24199215140447738</v>
      </c>
      <c r="H10" s="58">
        <f>'Data Input'!H157/'Data Input'!H155</f>
        <v>0.71951219512195119</v>
      </c>
      <c r="I10" s="58">
        <f>'Data Input'!H161/'Data Input'!H155</f>
        <v>-5.0203252032520324E-2</v>
      </c>
      <c r="J10" s="58">
        <f>'Data Input'!H168/'Data Input'!H155</f>
        <v>0.1402439024390244</v>
      </c>
      <c r="K10" s="59">
        <f>'Data Input'!H177</f>
        <v>28210.244999999999</v>
      </c>
      <c r="L10" s="59">
        <f>'Data Input'!H178</f>
        <v>27720.244999999999</v>
      </c>
      <c r="M10" s="60">
        <f t="shared" si="0"/>
        <v>11.268392276422764</v>
      </c>
      <c r="N10" s="60">
        <f>IFERROR(L10/'Data Input'!H161,"n/m")</f>
        <v>-224.45542510121456</v>
      </c>
      <c r="O10" s="61">
        <f>IFERROR('Data Input'!H176/'Data Input'!H163,"n/m")</f>
        <v>-627.17307692307691</v>
      </c>
      <c r="P10" s="58">
        <f>'Data Input'!H168/K10</f>
        <v>1.2229599565689699E-2</v>
      </c>
      <c r="Q10" s="61">
        <f>('Data Input'!H172-'Data Input'!H171)/'Data Input'!H161</f>
        <v>3.9676113360323888</v>
      </c>
      <c r="R10" s="37">
        <f>'Data Input'!Z13/'Data Input'!H155</f>
        <v>0.3048780487804878</v>
      </c>
      <c r="S10" s="37">
        <f>'Data Input'!Z20/'Data Input'!H155</f>
        <v>0.33739837398373984</v>
      </c>
      <c r="T10" s="37">
        <f>'Data Input'!Z27/'Data Input'!H155</f>
        <v>0.11788617886178862</v>
      </c>
      <c r="U10" s="37">
        <f>'Data Input'!Z34/'Data Input'!H155</f>
        <v>0.18292682926829268</v>
      </c>
      <c r="V10" s="37">
        <f>'Data Input'!Z48</f>
        <v>0.15731707317073171</v>
      </c>
      <c r="W10" s="36">
        <f>'Data Input'!Z51</f>
        <v>400.5</v>
      </c>
      <c r="X10" s="100">
        <f>IFERROR(L10/W10,"n/m")</f>
        <v>69.214094881398253</v>
      </c>
      <c r="Y10" s="37">
        <f>'Data Input'!Z65</f>
        <v>0.38336735219684914</v>
      </c>
    </row>
    <row r="11" spans="2:25" x14ac:dyDescent="0.25">
      <c r="E11" s="36"/>
      <c r="F11" s="37"/>
      <c r="G11" s="37"/>
      <c r="H11" s="37"/>
      <c r="I11" s="37"/>
      <c r="J11" s="37"/>
      <c r="K11" s="36"/>
      <c r="L11" s="36"/>
      <c r="M11" s="40"/>
      <c r="N11" s="40"/>
      <c r="O11" s="40"/>
      <c r="P11" s="37"/>
      <c r="Q11" s="40"/>
    </row>
    <row r="12" spans="2:25" x14ac:dyDescent="0.25">
      <c r="B12" s="35" t="s">
        <v>110</v>
      </c>
      <c r="C12" s="51"/>
      <c r="D12" s="51"/>
      <c r="E12" s="52">
        <f t="shared" ref="E12:M12" si="1">MEDIAN(E5:E10)</f>
        <v>7352.6729999999998</v>
      </c>
      <c r="F12" s="53">
        <f t="shared" si="1"/>
        <v>0.32873543497267499</v>
      </c>
      <c r="G12" s="53">
        <f t="shared" si="1"/>
        <v>0.27354774722892761</v>
      </c>
      <c r="H12" s="53">
        <f t="shared" si="1"/>
        <v>0.71509651934871099</v>
      </c>
      <c r="I12" s="53">
        <f t="shared" si="1"/>
        <v>0.26540795927744848</v>
      </c>
      <c r="J12" s="53">
        <f t="shared" si="1"/>
        <v>0.27962293738380861</v>
      </c>
      <c r="K12" s="52">
        <f t="shared" si="1"/>
        <v>240504.81579999998</v>
      </c>
      <c r="L12" s="52">
        <f t="shared" si="1"/>
        <v>240385.21779999998</v>
      </c>
      <c r="M12" s="54">
        <f t="shared" si="1"/>
        <v>20.497878536203725</v>
      </c>
      <c r="N12" s="54" cm="1">
        <f t="array" ref="N12">MEDIAN(IF(ISNUMBER(N5:N10),N5:N10))</f>
        <v>33.37514765599407</v>
      </c>
      <c r="O12" s="54" cm="1">
        <f t="array" ref="O12">MEDIAN(IF(ISNUMBER(O5:O10),O5:O10))</f>
        <v>40.858896234550159</v>
      </c>
      <c r="P12" s="53">
        <f>MEDIAN(P5:P10)</f>
        <v>1.3516005026402968E-2</v>
      </c>
      <c r="Q12" s="54" cm="1">
        <f t="array" ref="Q12">MEDIAN(IF(ISNUMBER(Q5:Q10),Q5:Q10))</f>
        <v>-0.40299111249623037</v>
      </c>
    </row>
    <row r="13" spans="2:25" x14ac:dyDescent="0.25">
      <c r="B13" s="62" t="s">
        <v>111</v>
      </c>
      <c r="C13" s="63"/>
      <c r="D13" s="63"/>
      <c r="E13" s="64">
        <f t="shared" ref="E13:M13" si="2">AVERAGE(E5:E10)</f>
        <v>59615.213833333335</v>
      </c>
      <c r="F13" s="65">
        <f t="shared" si="2"/>
        <v>0.39615742605630971</v>
      </c>
      <c r="G13" s="65">
        <f t="shared" si="2"/>
        <v>0.37756998495570543</v>
      </c>
      <c r="H13" s="65">
        <f t="shared" si="2"/>
        <v>0.6601936779477503</v>
      </c>
      <c r="I13" s="65">
        <f t="shared" si="2"/>
        <v>0.28327412560934723</v>
      </c>
      <c r="J13" s="65">
        <f t="shared" si="2"/>
        <v>0.29152742682293059</v>
      </c>
      <c r="K13" s="64">
        <f t="shared" si="2"/>
        <v>1323093.4340283335</v>
      </c>
      <c r="L13" s="64">
        <f t="shared" si="2"/>
        <v>1312954.1653616668</v>
      </c>
      <c r="M13" s="66">
        <f t="shared" si="2"/>
        <v>29.779346296740865</v>
      </c>
      <c r="N13" s="66">
        <f>AVERAGEIF(N5:N10,"&gt;0")</f>
        <v>92.82713581877735</v>
      </c>
      <c r="O13" s="66">
        <f>AVERAGEIF(O5:O10,"&gt;0")</f>
        <v>98.754239813034516</v>
      </c>
      <c r="P13" s="65">
        <f>AVERAGE(P5:P10)</f>
        <v>1.2833978720457398E-2</v>
      </c>
      <c r="Q13" s="66">
        <f>AVERAGE(Q5:Q10)</f>
        <v>-9.3813843738638045</v>
      </c>
    </row>
    <row r="15" spans="2:25" x14ac:dyDescent="0.25">
      <c r="B15" s="4" t="s">
        <v>112</v>
      </c>
    </row>
    <row r="16" spans="2:25" x14ac:dyDescent="0.25">
      <c r="B16" t="s">
        <v>113</v>
      </c>
    </row>
    <row r="17" spans="2:2" x14ac:dyDescent="0.25">
      <c r="B17" t="s">
        <v>114</v>
      </c>
    </row>
    <row r="18" spans="2:2" x14ac:dyDescent="0.25">
      <c r="B18" t="s">
        <v>115</v>
      </c>
    </row>
  </sheetData>
  <conditionalFormatting sqref="F5:F1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1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:H1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1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:J1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M10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:N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:O1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5:P1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DBC4A-B04F-4F42-989F-65576347198E}">
  <dimension ref="A1:J59"/>
  <sheetViews>
    <sheetView workbookViewId="0">
      <selection activeCell="H13" sqref="H13"/>
    </sheetView>
  </sheetViews>
  <sheetFormatPr defaultRowHeight="15" x14ac:dyDescent="0.25"/>
  <cols>
    <col min="1" max="1" width="5.7109375" customWidth="1"/>
    <col min="2" max="2" width="24.5703125" customWidth="1"/>
    <col min="3" max="10" width="15.28515625" customWidth="1"/>
  </cols>
  <sheetData>
    <row r="1" spans="1:10" ht="21" x14ac:dyDescent="0.35">
      <c r="B1" s="71" t="s">
        <v>125</v>
      </c>
    </row>
    <row r="2" spans="1:10" x14ac:dyDescent="0.25">
      <c r="B2" s="72" t="s">
        <v>126</v>
      </c>
    </row>
    <row r="4" spans="1:10" ht="15.75" x14ac:dyDescent="0.25">
      <c r="B4" s="73" t="s">
        <v>151</v>
      </c>
    </row>
    <row r="5" spans="1:10" x14ac:dyDescent="0.25">
      <c r="B5" s="34" t="s">
        <v>127</v>
      </c>
      <c r="C5" s="34" t="s">
        <v>121</v>
      </c>
      <c r="D5" s="34" t="s">
        <v>122</v>
      </c>
      <c r="E5" s="34" t="s">
        <v>123</v>
      </c>
      <c r="F5" s="34" t="s">
        <v>60</v>
      </c>
      <c r="G5" s="34" t="s">
        <v>128</v>
      </c>
    </row>
    <row r="6" spans="1:10" x14ac:dyDescent="0.25">
      <c r="A6" s="77" t="s">
        <v>142</v>
      </c>
      <c r="B6" s="74" t="s">
        <v>129</v>
      </c>
      <c r="C6" s="208">
        <f>IF($C$7="Custom",0.25,INDEX($C$37:$F$40,MATCH($C$7,{"Balanced";"Growth";"Value";"FCF"},0),1))</f>
        <v>0.25</v>
      </c>
      <c r="D6" s="208">
        <f>IF($C$7="Custom",0.25,INDEX($C$37:$F$40,MATCH($C$7,{"Balanced";"Growth";"Value";"FCF"},0),2))</f>
        <v>0.25</v>
      </c>
      <c r="E6" s="208">
        <f>IF($C$7="Custom",0.25,INDEX($C$37:$F$40,MATCH($C$7,{"Balanced";"Growth";"Value";"FCF"},0),3))</f>
        <v>0.25</v>
      </c>
      <c r="F6" s="208">
        <f>IF($C$7="Custom",0.25,INDEX($C$37:$F$40,MATCH($C$7,{"Balanced";"Growth";"Value";"FCF"},0),4))</f>
        <v>0.25</v>
      </c>
      <c r="G6" s="209">
        <f>SUM(C6:F6)</f>
        <v>1</v>
      </c>
    </row>
    <row r="7" spans="1:10" x14ac:dyDescent="0.25">
      <c r="B7" s="126" t="s">
        <v>398</v>
      </c>
      <c r="C7" s="246" t="s">
        <v>399</v>
      </c>
      <c r="D7" s="247" t="str">
        <f>IF(C7="Custom","→ Custom weights — edit C6:F6 directly","→ Weights loaded from "&amp;C7&amp;" preset")</f>
        <v>→ Custom weights — edit C6:F6 directly</v>
      </c>
    </row>
    <row r="8" spans="1:10" ht="15.75" x14ac:dyDescent="0.25">
      <c r="B8" s="245" t="s">
        <v>130</v>
      </c>
    </row>
    <row r="9" spans="1:10" x14ac:dyDescent="0.25">
      <c r="B9" s="79" t="s">
        <v>86</v>
      </c>
      <c r="C9" s="78" t="s">
        <v>124</v>
      </c>
      <c r="D9" s="78" t="s">
        <v>89</v>
      </c>
      <c r="E9" s="78" t="s">
        <v>91</v>
      </c>
      <c r="F9" s="78" t="s">
        <v>92</v>
      </c>
      <c r="G9" s="78" t="s">
        <v>96</v>
      </c>
      <c r="H9" s="78" t="s">
        <v>97</v>
      </c>
      <c r="I9" s="78" t="s">
        <v>93</v>
      </c>
      <c r="J9" s="82" t="s">
        <v>99</v>
      </c>
    </row>
    <row r="10" spans="1:10" x14ac:dyDescent="0.25">
      <c r="B10" s="80" t="s">
        <v>40</v>
      </c>
      <c r="C10" s="37">
        <f>'Comp Table'!G5</f>
        <v>1.0004509499443963</v>
      </c>
      <c r="D10" s="37">
        <f>'Comp Table'!F5</f>
        <v>0.65473535790094783</v>
      </c>
      <c r="E10" s="37">
        <f>'Comp Table'!H5</f>
        <v>0.71068084357547079</v>
      </c>
      <c r="F10" s="37">
        <f>'Comp Table'!I5</f>
        <v>0.61698265242801176</v>
      </c>
      <c r="G10" s="100">
        <f>'Comp Table'!M5</f>
        <v>24.318152432642705</v>
      </c>
      <c r="H10" s="211">
        <f>'Comp Table'!N5</f>
        <v>39.414645350146365</v>
      </c>
      <c r="I10" s="37">
        <f>'Comp Table'!J5</f>
        <v>0.44770258129648327</v>
      </c>
      <c r="J10" s="213">
        <f>'Comp Table'!P5</f>
        <v>1.8402732793256386E-2</v>
      </c>
    </row>
    <row r="11" spans="1:10" x14ac:dyDescent="0.25">
      <c r="B11" s="80" t="s">
        <v>131</v>
      </c>
      <c r="C11" s="37">
        <f>'Comp Table'!G6</f>
        <v>0.17284787229042031</v>
      </c>
      <c r="D11" s="37">
        <f>'Comp Table'!F6</f>
        <v>0.35901420959147434</v>
      </c>
      <c r="E11" s="37">
        <f>'Comp Table'!H6</f>
        <v>0.5989952622120569</v>
      </c>
      <c r="F11" s="37">
        <f>'Comp Table'!I6</f>
        <v>0.61010455807874531</v>
      </c>
      <c r="G11" s="100">
        <f>'Comp Table'!M6</f>
        <v>16.677604639764745</v>
      </c>
      <c r="H11" s="211">
        <f>'Comp Table'!N6</f>
        <v>27.335649961841767</v>
      </c>
      <c r="I11" s="37">
        <f>'Comp Table'!J6</f>
        <v>0.37412187551053749</v>
      </c>
      <c r="J11" s="213">
        <f>'Comp Table'!P6</f>
        <v>2.1802543258102373E-2</v>
      </c>
    </row>
    <row r="12" spans="1:10" x14ac:dyDescent="0.25">
      <c r="B12" s="80" t="s">
        <v>74</v>
      </c>
      <c r="C12" s="37">
        <f>'Comp Table'!G7</f>
        <v>0.21585434016498239</v>
      </c>
      <c r="D12" s="37">
        <f>'Comp Table'!F7</f>
        <v>0.27685414014328869</v>
      </c>
      <c r="E12" s="37">
        <f>'Comp Table'!H7</f>
        <v>0.36317070548099201</v>
      </c>
      <c r="F12" s="37">
        <f>'Comp Table'!I7</f>
        <v>0.20902452614395059</v>
      </c>
      <c r="G12" s="100">
        <f>'Comp Table'!M7</f>
        <v>12.622139219347208</v>
      </c>
      <c r="H12" s="211">
        <f>'Comp Table'!N7</f>
        <v>60.385924332413595</v>
      </c>
      <c r="I12" s="37">
        <f>'Comp Table'!J7</f>
        <v>0.18512399925707976</v>
      </c>
      <c r="J12" s="213">
        <f>'Comp Table'!P7</f>
        <v>1.4802410487116238E-2</v>
      </c>
    </row>
    <row r="13" spans="1:10" x14ac:dyDescent="0.25">
      <c r="B13" s="80" t="s">
        <v>75</v>
      </c>
      <c r="C13" s="37">
        <f>'Comp Table'!G8</f>
        <v>0.30510334305337783</v>
      </c>
      <c r="D13" s="37">
        <f>'Comp Table'!F8</f>
        <v>0.29845666035387564</v>
      </c>
      <c r="E13" s="37">
        <f>'Comp Table'!H8</f>
        <v>0.74513788915452794</v>
      </c>
      <c r="F13" s="37">
        <f>'Comp Table'!V8</f>
        <v>0.11393320008837896</v>
      </c>
      <c r="G13" s="100">
        <f>'Comp Table'!M8</f>
        <v>35.2172372029261</v>
      </c>
      <c r="H13" s="211">
        <f>'Comp Table'!X8</f>
        <v>174.81431043957301</v>
      </c>
      <c r="I13" s="37">
        <f>'Comp Table'!J8</f>
        <v>0.13261317095469105</v>
      </c>
      <c r="J13" s="213">
        <f>'Comp Table'!P8</f>
        <v>3.8171002996428855E-3</v>
      </c>
    </row>
    <row r="14" spans="1:10" x14ac:dyDescent="0.25">
      <c r="B14" s="80" t="s">
        <v>76</v>
      </c>
      <c r="C14" s="37">
        <f>'Comp Table'!G9</f>
        <v>0.32917125287657845</v>
      </c>
      <c r="D14" s="37">
        <f>'Comp Table'!F9</f>
        <v>0.56183390932215471</v>
      </c>
      <c r="E14" s="37">
        <f>'Comp Table'!H9</f>
        <v>0.8236651721415027</v>
      </c>
      <c r="F14" s="37">
        <f>'Comp Table'!I9</f>
        <v>0.32179139241094634</v>
      </c>
      <c r="G14" s="100">
        <f>'Comp Table'!M9</f>
        <v>78.572552009341649</v>
      </c>
      <c r="H14" s="211">
        <f>'Comp Table'!N9</f>
        <v>244.17232363070769</v>
      </c>
      <c r="I14" s="37">
        <f>'Comp Table'!J9</f>
        <v>0.4693590314797676</v>
      </c>
      <c r="J14" s="213">
        <f>'Comp Table'!P9</f>
        <v>5.9494859189368008E-3</v>
      </c>
    </row>
    <row r="15" spans="1:10" x14ac:dyDescent="0.25">
      <c r="B15" s="81" t="s">
        <v>77</v>
      </c>
      <c r="C15" s="58">
        <f>'Comp Table'!G10</f>
        <v>0.24199215140447738</v>
      </c>
      <c r="D15" s="58">
        <f>'Comp Table'!F10</f>
        <v>0.22605027902611741</v>
      </c>
      <c r="E15" s="58">
        <f>'Comp Table'!H10</f>
        <v>0.71951219512195119</v>
      </c>
      <c r="F15" s="58">
        <f>'Comp Table'!V10</f>
        <v>0.15731707317073171</v>
      </c>
      <c r="G15" s="210">
        <f>'Comp Table'!M10</f>
        <v>11.268392276422764</v>
      </c>
      <c r="H15" s="212">
        <f>'Comp Table'!X10</f>
        <v>69.214094881398253</v>
      </c>
      <c r="I15" s="58">
        <f>'Comp Table'!J10</f>
        <v>0.1402439024390244</v>
      </c>
      <c r="J15" s="214">
        <f>'Comp Table'!P10</f>
        <v>1.2229599565689699E-2</v>
      </c>
    </row>
    <row r="17" spans="2:10" ht="15.75" x14ac:dyDescent="0.25">
      <c r="B17" s="73" t="s">
        <v>132</v>
      </c>
    </row>
    <row r="18" spans="2:10" x14ac:dyDescent="0.25">
      <c r="B18" s="79" t="s">
        <v>86</v>
      </c>
      <c r="C18" s="78" t="s">
        <v>133</v>
      </c>
      <c r="D18" s="78" t="s">
        <v>89</v>
      </c>
      <c r="E18" s="78" t="s">
        <v>134</v>
      </c>
      <c r="F18" s="78" t="s">
        <v>135</v>
      </c>
      <c r="G18" s="78" t="s">
        <v>136</v>
      </c>
      <c r="H18" s="78" t="s">
        <v>97</v>
      </c>
      <c r="I18" s="78" t="s">
        <v>137</v>
      </c>
      <c r="J18" s="82" t="s">
        <v>99</v>
      </c>
    </row>
    <row r="19" spans="2:10" x14ac:dyDescent="0.25">
      <c r="B19" s="83" t="s">
        <v>101</v>
      </c>
      <c r="C19" s="215">
        <f t="shared" ref="C19:C24" si="0">RANK(C10,$C$10:$C$15,0)</f>
        <v>1</v>
      </c>
      <c r="D19" s="215">
        <f t="shared" ref="D19:D24" si="1">RANK(D10,$D$10:$D$15,0)</f>
        <v>1</v>
      </c>
      <c r="E19" s="215">
        <f t="shared" ref="E19:E24" si="2">RANK(E10,$E$10:$E$15,0)</f>
        <v>4</v>
      </c>
      <c r="F19" s="215">
        <f t="shared" ref="F19:F24" si="3">RANK(F10,$F$10:$F$15,0)</f>
        <v>1</v>
      </c>
      <c r="G19" s="215">
        <f t="shared" ref="G19:G24" si="4">RANK(G10,$G$10:$G$15,1)</f>
        <v>4</v>
      </c>
      <c r="H19" s="215">
        <f t="shared" ref="H19:H24" si="5">RANK(H10,$H$10:$H$15,1)</f>
        <v>2</v>
      </c>
      <c r="I19" s="215">
        <f t="shared" ref="I19:I24" si="6">RANK(I10,$I$10:$I$15,0)</f>
        <v>2</v>
      </c>
      <c r="J19" s="216">
        <f t="shared" ref="J19:J24" si="7">RANK(J10,$J$10:$J$15,0)</f>
        <v>2</v>
      </c>
    </row>
    <row r="20" spans="2:10" x14ac:dyDescent="0.25">
      <c r="B20" s="83" t="s">
        <v>102</v>
      </c>
      <c r="C20" s="215">
        <f t="shared" si="0"/>
        <v>6</v>
      </c>
      <c r="D20" s="215">
        <f t="shared" si="1"/>
        <v>3</v>
      </c>
      <c r="E20" s="215">
        <f t="shared" si="2"/>
        <v>5</v>
      </c>
      <c r="F20" s="215">
        <f t="shared" si="3"/>
        <v>2</v>
      </c>
      <c r="G20" s="215">
        <f t="shared" si="4"/>
        <v>3</v>
      </c>
      <c r="H20" s="215">
        <f t="shared" si="5"/>
        <v>1</v>
      </c>
      <c r="I20" s="215">
        <f t="shared" si="6"/>
        <v>3</v>
      </c>
      <c r="J20" s="216">
        <f t="shared" si="7"/>
        <v>1</v>
      </c>
    </row>
    <row r="21" spans="2:10" x14ac:dyDescent="0.25">
      <c r="B21" s="83" t="s">
        <v>104</v>
      </c>
      <c r="C21" s="215">
        <f t="shared" si="0"/>
        <v>5</v>
      </c>
      <c r="D21" s="215">
        <f t="shared" si="1"/>
        <v>5</v>
      </c>
      <c r="E21" s="215">
        <f t="shared" si="2"/>
        <v>6</v>
      </c>
      <c r="F21" s="215">
        <f t="shared" si="3"/>
        <v>4</v>
      </c>
      <c r="G21" s="215">
        <f t="shared" si="4"/>
        <v>2</v>
      </c>
      <c r="H21" s="215">
        <f t="shared" si="5"/>
        <v>3</v>
      </c>
      <c r="I21" s="215">
        <f t="shared" si="6"/>
        <v>4</v>
      </c>
      <c r="J21" s="216">
        <f t="shared" si="7"/>
        <v>3</v>
      </c>
    </row>
    <row r="22" spans="2:10" x14ac:dyDescent="0.25">
      <c r="B22" s="83" t="s">
        <v>105</v>
      </c>
      <c r="C22" s="215">
        <f t="shared" si="0"/>
        <v>3</v>
      </c>
      <c r="D22" s="215">
        <f t="shared" si="1"/>
        <v>4</v>
      </c>
      <c r="E22" s="215">
        <f t="shared" si="2"/>
        <v>2</v>
      </c>
      <c r="F22" s="215">
        <f t="shared" si="3"/>
        <v>6</v>
      </c>
      <c r="G22" s="215">
        <f t="shared" si="4"/>
        <v>5</v>
      </c>
      <c r="H22" s="215">
        <f t="shared" si="5"/>
        <v>5</v>
      </c>
      <c r="I22" s="215">
        <f t="shared" si="6"/>
        <v>6</v>
      </c>
      <c r="J22" s="216">
        <f t="shared" si="7"/>
        <v>6</v>
      </c>
    </row>
    <row r="23" spans="2:10" x14ac:dyDescent="0.25">
      <c r="B23" s="83" t="s">
        <v>106</v>
      </c>
      <c r="C23" s="215">
        <f t="shared" si="0"/>
        <v>2</v>
      </c>
      <c r="D23" s="215">
        <f t="shared" si="1"/>
        <v>2</v>
      </c>
      <c r="E23" s="215">
        <f t="shared" si="2"/>
        <v>1</v>
      </c>
      <c r="F23" s="215">
        <f t="shared" si="3"/>
        <v>3</v>
      </c>
      <c r="G23" s="215">
        <f t="shared" si="4"/>
        <v>6</v>
      </c>
      <c r="H23" s="215">
        <f t="shared" si="5"/>
        <v>6</v>
      </c>
      <c r="I23" s="215">
        <f t="shared" si="6"/>
        <v>1</v>
      </c>
      <c r="J23" s="216">
        <f t="shared" si="7"/>
        <v>5</v>
      </c>
    </row>
    <row r="24" spans="2:10" x14ac:dyDescent="0.25">
      <c r="B24" s="84" t="s">
        <v>108</v>
      </c>
      <c r="C24" s="217">
        <f t="shared" si="0"/>
        <v>4</v>
      </c>
      <c r="D24" s="217">
        <f t="shared" si="1"/>
        <v>6</v>
      </c>
      <c r="E24" s="217">
        <f t="shared" si="2"/>
        <v>3</v>
      </c>
      <c r="F24" s="217">
        <f t="shared" si="3"/>
        <v>5</v>
      </c>
      <c r="G24" s="217">
        <f t="shared" si="4"/>
        <v>1</v>
      </c>
      <c r="H24" s="217">
        <f t="shared" si="5"/>
        <v>4</v>
      </c>
      <c r="I24" s="217">
        <f t="shared" si="6"/>
        <v>5</v>
      </c>
      <c r="J24" s="218">
        <f t="shared" si="7"/>
        <v>4</v>
      </c>
    </row>
    <row r="26" spans="2:10" ht="15.75" x14ac:dyDescent="0.25">
      <c r="B26" s="73" t="s">
        <v>138</v>
      </c>
    </row>
    <row r="27" spans="2:10" x14ac:dyDescent="0.25">
      <c r="B27" s="79" t="s">
        <v>86</v>
      </c>
      <c r="C27" s="78" t="s">
        <v>121</v>
      </c>
      <c r="D27" s="78" t="s">
        <v>122</v>
      </c>
      <c r="E27" s="78" t="s">
        <v>123</v>
      </c>
      <c r="F27" s="78" t="s">
        <v>60</v>
      </c>
      <c r="G27" s="78" t="s">
        <v>139</v>
      </c>
      <c r="H27" s="82" t="s">
        <v>140</v>
      </c>
    </row>
    <row r="28" spans="2:10" x14ac:dyDescent="0.25">
      <c r="B28" s="83" t="s">
        <v>101</v>
      </c>
      <c r="C28" s="219">
        <f t="shared" ref="C28:C33" si="8">AVERAGE(C19:D19)</f>
        <v>1</v>
      </c>
      <c r="D28" s="219">
        <f t="shared" ref="D28:D33" si="9">AVERAGE(E19:F19)</f>
        <v>2.5</v>
      </c>
      <c r="E28" s="219">
        <f t="shared" ref="E28:E33" si="10">AVERAGE(G19:H19)</f>
        <v>3</v>
      </c>
      <c r="F28" s="219">
        <f t="shared" ref="F28:F33" si="11">AVERAGE(I19:J19)</f>
        <v>2</v>
      </c>
      <c r="G28" s="220">
        <f t="shared" ref="G28:G33" si="12">C28*$C$6+D28*$D$6+E28*$E$6+F28*$F$6</f>
        <v>2.125</v>
      </c>
      <c r="H28" s="86">
        <f t="shared" ref="H28:H33" si="13">RANK(G28,$G$28:$G$33,1)</f>
        <v>1</v>
      </c>
    </row>
    <row r="29" spans="2:10" x14ac:dyDescent="0.25">
      <c r="B29" s="83" t="s">
        <v>102</v>
      </c>
      <c r="C29" s="219">
        <f t="shared" si="8"/>
        <v>4.5</v>
      </c>
      <c r="D29" s="219">
        <f t="shared" si="9"/>
        <v>3.5</v>
      </c>
      <c r="E29" s="219">
        <f t="shared" si="10"/>
        <v>2</v>
      </c>
      <c r="F29" s="219">
        <f t="shared" si="11"/>
        <v>2</v>
      </c>
      <c r="G29" s="220">
        <f t="shared" si="12"/>
        <v>3</v>
      </c>
      <c r="H29" s="86">
        <f t="shared" si="13"/>
        <v>2</v>
      </c>
    </row>
    <row r="30" spans="2:10" x14ac:dyDescent="0.25">
      <c r="B30" s="83" t="s">
        <v>104</v>
      </c>
      <c r="C30" s="219">
        <f t="shared" si="8"/>
        <v>5</v>
      </c>
      <c r="D30" s="219">
        <f t="shared" si="9"/>
        <v>5</v>
      </c>
      <c r="E30" s="219">
        <f t="shared" si="10"/>
        <v>2.5</v>
      </c>
      <c r="F30" s="219">
        <f t="shared" si="11"/>
        <v>3.5</v>
      </c>
      <c r="G30" s="220">
        <f t="shared" si="12"/>
        <v>4</v>
      </c>
      <c r="H30" s="86">
        <f t="shared" si="13"/>
        <v>4</v>
      </c>
    </row>
    <row r="31" spans="2:10" x14ac:dyDescent="0.25">
      <c r="B31" s="83" t="s">
        <v>105</v>
      </c>
      <c r="C31" s="219">
        <f t="shared" si="8"/>
        <v>3.5</v>
      </c>
      <c r="D31" s="219">
        <f t="shared" si="9"/>
        <v>4</v>
      </c>
      <c r="E31" s="219">
        <f t="shared" si="10"/>
        <v>5</v>
      </c>
      <c r="F31" s="219">
        <f t="shared" si="11"/>
        <v>6</v>
      </c>
      <c r="G31" s="220">
        <f t="shared" si="12"/>
        <v>4.625</v>
      </c>
      <c r="H31" s="86">
        <f t="shared" si="13"/>
        <v>6</v>
      </c>
    </row>
    <row r="32" spans="2:10" x14ac:dyDescent="0.25">
      <c r="B32" s="83" t="s">
        <v>106</v>
      </c>
      <c r="C32" s="219">
        <f t="shared" si="8"/>
        <v>2</v>
      </c>
      <c r="D32" s="219">
        <f t="shared" si="9"/>
        <v>2</v>
      </c>
      <c r="E32" s="219">
        <f t="shared" si="10"/>
        <v>6</v>
      </c>
      <c r="F32" s="219">
        <f t="shared" si="11"/>
        <v>3</v>
      </c>
      <c r="G32" s="220">
        <f t="shared" si="12"/>
        <v>3.25</v>
      </c>
      <c r="H32" s="86">
        <f t="shared" si="13"/>
        <v>3</v>
      </c>
    </row>
    <row r="33" spans="2:8" x14ac:dyDescent="0.25">
      <c r="B33" s="84" t="s">
        <v>108</v>
      </c>
      <c r="C33" s="221">
        <f t="shared" si="8"/>
        <v>5</v>
      </c>
      <c r="D33" s="221">
        <f t="shared" si="9"/>
        <v>4</v>
      </c>
      <c r="E33" s="221">
        <f t="shared" si="10"/>
        <v>2.5</v>
      </c>
      <c r="F33" s="221">
        <f t="shared" si="11"/>
        <v>4.5</v>
      </c>
      <c r="G33" s="222">
        <f t="shared" si="12"/>
        <v>4</v>
      </c>
      <c r="H33" s="87">
        <f t="shared" si="13"/>
        <v>4</v>
      </c>
    </row>
    <row r="35" spans="2:8" ht="15.75" x14ac:dyDescent="0.25">
      <c r="B35" s="73" t="s">
        <v>143</v>
      </c>
    </row>
    <row r="36" spans="2:8" x14ac:dyDescent="0.25">
      <c r="B36" s="33" t="s">
        <v>144</v>
      </c>
      <c r="C36" s="34" t="s">
        <v>121</v>
      </c>
      <c r="D36" s="34" t="s">
        <v>141</v>
      </c>
      <c r="E36" s="34" t="s">
        <v>123</v>
      </c>
      <c r="F36" s="34" t="s">
        <v>60</v>
      </c>
      <c r="G36" s="34" t="s">
        <v>145</v>
      </c>
    </row>
    <row r="37" spans="2:8" x14ac:dyDescent="0.25">
      <c r="B37" s="4" t="s">
        <v>147</v>
      </c>
      <c r="C37" s="223">
        <v>0.25</v>
      </c>
      <c r="D37" s="223">
        <v>0.25</v>
      </c>
      <c r="E37" s="223">
        <v>0.25</v>
      </c>
      <c r="F37" s="223">
        <v>0.25</v>
      </c>
      <c r="G37" s="4"/>
    </row>
    <row r="38" spans="2:8" x14ac:dyDescent="0.25">
      <c r="B38" s="4" t="s">
        <v>121</v>
      </c>
      <c r="C38" s="223">
        <v>0.5</v>
      </c>
      <c r="D38" s="223">
        <v>0.2</v>
      </c>
      <c r="E38" s="223">
        <v>0.1</v>
      </c>
      <c r="F38" s="223">
        <v>0.2</v>
      </c>
    </row>
    <row r="39" spans="2:8" x14ac:dyDescent="0.25">
      <c r="B39" s="4" t="s">
        <v>148</v>
      </c>
      <c r="C39" s="223">
        <v>0.1</v>
      </c>
      <c r="D39" s="223">
        <v>0.2</v>
      </c>
      <c r="E39" s="223">
        <v>0.5</v>
      </c>
      <c r="F39" s="223">
        <v>0.2</v>
      </c>
    </row>
    <row r="40" spans="2:8" x14ac:dyDescent="0.25">
      <c r="B40" s="4" t="s">
        <v>149</v>
      </c>
      <c r="C40" s="223">
        <v>0.15</v>
      </c>
      <c r="D40" s="223">
        <v>0.2</v>
      </c>
      <c r="E40" s="223">
        <v>0.15</v>
      </c>
      <c r="F40" s="223">
        <v>0.5</v>
      </c>
    </row>
    <row r="42" spans="2:8" x14ac:dyDescent="0.25">
      <c r="B42" s="88" t="s">
        <v>146</v>
      </c>
    </row>
    <row r="43" spans="2:8" x14ac:dyDescent="0.25">
      <c r="B43" s="33" t="s">
        <v>86</v>
      </c>
      <c r="C43" s="34" t="s">
        <v>147</v>
      </c>
      <c r="D43" s="34" t="s">
        <v>121</v>
      </c>
      <c r="E43" s="34" t="s">
        <v>148</v>
      </c>
      <c r="F43" s="34" t="s">
        <v>149</v>
      </c>
    </row>
    <row r="44" spans="2:8" x14ac:dyDescent="0.25">
      <c r="B44" t="s">
        <v>101</v>
      </c>
      <c r="C44" s="219">
        <f t="shared" ref="C44:C49" si="14">C28*$C$37+D28*$D$37+E28*$E$37+F28*$F$37</f>
        <v>2.125</v>
      </c>
      <c r="D44" s="219">
        <f t="shared" ref="D44:D49" si="15">C28*$C$38+D28*$D$38+E28*$E$38+F28*$F$38</f>
        <v>1.7000000000000002</v>
      </c>
      <c r="E44" s="219">
        <f t="shared" ref="E44:E49" si="16">C28*$C$39+D28*$D$39+E28*$E$39+F28*$F$39</f>
        <v>2.5</v>
      </c>
      <c r="F44" s="219">
        <f t="shared" ref="F44:F49" si="17">C28*$C$40+D28*$D$40+E28*$E$40+F28*$F$40</f>
        <v>2.1</v>
      </c>
    </row>
    <row r="45" spans="2:8" x14ac:dyDescent="0.25">
      <c r="B45" t="s">
        <v>102</v>
      </c>
      <c r="C45" s="219">
        <f t="shared" si="14"/>
        <v>3</v>
      </c>
      <c r="D45" s="219">
        <f t="shared" si="15"/>
        <v>3.5500000000000003</v>
      </c>
      <c r="E45" s="219">
        <f t="shared" si="16"/>
        <v>2.5500000000000003</v>
      </c>
      <c r="F45" s="219">
        <f t="shared" si="17"/>
        <v>2.6749999999999998</v>
      </c>
    </row>
    <row r="46" spans="2:8" x14ac:dyDescent="0.25">
      <c r="B46" t="s">
        <v>104</v>
      </c>
      <c r="C46" s="219">
        <f t="shared" si="14"/>
        <v>4</v>
      </c>
      <c r="D46" s="219">
        <f t="shared" si="15"/>
        <v>4.45</v>
      </c>
      <c r="E46" s="219">
        <f t="shared" si="16"/>
        <v>3.45</v>
      </c>
      <c r="F46" s="219">
        <f t="shared" si="17"/>
        <v>3.875</v>
      </c>
    </row>
    <row r="47" spans="2:8" x14ac:dyDescent="0.25">
      <c r="B47" t="s">
        <v>105</v>
      </c>
      <c r="C47" s="219">
        <f t="shared" si="14"/>
        <v>4.625</v>
      </c>
      <c r="D47" s="219">
        <f t="shared" si="15"/>
        <v>4.25</v>
      </c>
      <c r="E47" s="219">
        <f t="shared" si="16"/>
        <v>4.8500000000000005</v>
      </c>
      <c r="F47" s="219">
        <f t="shared" si="17"/>
        <v>5.0750000000000002</v>
      </c>
    </row>
    <row r="48" spans="2:8" x14ac:dyDescent="0.25">
      <c r="B48" t="s">
        <v>106</v>
      </c>
      <c r="C48" s="219">
        <f t="shared" si="14"/>
        <v>3.25</v>
      </c>
      <c r="D48" s="219">
        <f t="shared" si="15"/>
        <v>2.6</v>
      </c>
      <c r="E48" s="219">
        <f t="shared" si="16"/>
        <v>4.2</v>
      </c>
      <c r="F48" s="219">
        <f t="shared" si="17"/>
        <v>3.0999999999999996</v>
      </c>
    </row>
    <row r="49" spans="2:6" x14ac:dyDescent="0.25">
      <c r="B49" t="s">
        <v>108</v>
      </c>
      <c r="C49" s="219">
        <f t="shared" si="14"/>
        <v>4</v>
      </c>
      <c r="D49" s="219">
        <f t="shared" si="15"/>
        <v>4.45</v>
      </c>
      <c r="E49" s="219">
        <f t="shared" si="16"/>
        <v>3.4499999999999997</v>
      </c>
      <c r="F49" s="219">
        <f t="shared" si="17"/>
        <v>4.1749999999999998</v>
      </c>
    </row>
    <row r="51" spans="2:6" x14ac:dyDescent="0.25">
      <c r="B51" s="76" t="s">
        <v>150</v>
      </c>
    </row>
    <row r="52" spans="2:6" x14ac:dyDescent="0.25">
      <c r="C52" s="89" t="str">
        <f>INDEX($B$44:$B$49,MATCH(MIN(C44:C49),C44:C49,0))</f>
        <v>NVIDIA</v>
      </c>
      <c r="D52" s="89" t="str">
        <f>INDEX($B$44:$B$49,MATCH(MIN(D44:D49),D44:D49,0))</f>
        <v>NVIDIA</v>
      </c>
      <c r="E52" s="89" t="str">
        <f>INDEX($B$44:$B$49,MATCH(MIN(E44:E49),E44:E49,0))</f>
        <v>NVIDIA</v>
      </c>
      <c r="F52" s="89" t="str">
        <f>INDEX($B$44:$B$49,MATCH(MIN(F44:F49),F44:F49,0))</f>
        <v>NVIDIA</v>
      </c>
    </row>
    <row r="54" spans="2:6" x14ac:dyDescent="0.25">
      <c r="B54" s="238" t="s">
        <v>391</v>
      </c>
    </row>
    <row r="55" spans="2:6" x14ac:dyDescent="0.25">
      <c r="B55" s="32" t="s">
        <v>392</v>
      </c>
    </row>
    <row r="56" spans="2:6" x14ac:dyDescent="0.25">
      <c r="B56" s="4" t="s">
        <v>393</v>
      </c>
      <c r="C56" s="239" t="s">
        <v>394</v>
      </c>
    </row>
    <row r="57" spans="2:6" x14ac:dyDescent="0.25">
      <c r="B57" s="4" t="s">
        <v>395</v>
      </c>
      <c r="C57" s="240" t="str" cm="1">
        <f t="array" ref="C57">IF(UPPER($C$56)="COMPOSITE",INDEX('Comp Table'!C5:C10,MATCH(MIN($G$28:$G$33),$G$28:$G$33,0)),INDEX('Comp Table'!C5:C10,MATCH(MIN(IF(ISNUMBER(Scenarios!I62:I67),Scenarios!I62:I67)),IF(ISNUMBER(Scenarios!I62:I67),Scenarios!I62:I67),0)))</f>
        <v>TSM</v>
      </c>
    </row>
    <row r="58" spans="2:6" x14ac:dyDescent="0.25">
      <c r="B58" s="4" t="s">
        <v>396</v>
      </c>
      <c r="C58" s="241" t="str">
        <f>INDEX('Comp Table'!D5:D10,MATCH($C$57,'Comp Table'!C5:C10,0))</f>
        <v>Foundry / Mfg</v>
      </c>
    </row>
    <row r="59" spans="2:6" x14ac:dyDescent="0.25">
      <c r="B59" s="4" t="s">
        <v>397</v>
      </c>
      <c r="C59" s="241" t="str">
        <f>INDEX('Comp Table'!B5:B10,MATCH($C$57,'Comp Table'!C5:C10,0))</f>
        <v>Taiwan Semi</v>
      </c>
    </row>
  </sheetData>
  <conditionalFormatting sqref="C28:F33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9:J2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8:G3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28:H3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dataValidations count="2">
    <dataValidation type="list" allowBlank="1" showInputMessage="1" showErrorMessage="1" errorTitle="Invalid Method" error="Choose RiskAdj (best stress-test outcome), Composite (lowest weighted rank), Growth, Value, or FCF." promptTitle="Pick Selection Method" prompt="RiskAdj = smallest multiple expansion under capex stress_x000a_Composite = lowest overall weighted rank_x000a_Growth/Value/FCF = winner under that weight scenario" sqref="C56" xr:uid="{95503295-B92A-4FBE-B1C1-28194CCDA96C}">
      <formula1>"RiskAdj,Composite,Growth,Value,FCF"</formula1>
    </dataValidation>
    <dataValidation type="list" allowBlank="1" showInputMessage="1" showErrorMessage="1" errorTitle="Invalid Preset" error="Pick Balanced, Growth, Value, FCF, or Custom from the dropdown." promptTitle="Weight Preset" prompt="Balanced = 25/25/25/25_x000a_Growth = 50/20/10/20_x000a_Value = 10/20/50/20_x000a_FCF = 15/20/15/50_x000a_Custom = edit C6:F6 directly" sqref="C7" xr:uid="{CF377530-0264-4E8D-AEB8-D2016E200866}">
      <formula1>"Balanced,Growth,Value,FCF,Custom"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99AA9-74F6-41D9-AD9B-28AE20D01B67}">
  <dimension ref="B2:K82"/>
  <sheetViews>
    <sheetView workbookViewId="0">
      <pane ySplit="3" topLeftCell="A42" activePane="bottomLeft" state="frozen"/>
      <selection pane="bottomLeft" activeCell="E58" sqref="E58"/>
    </sheetView>
  </sheetViews>
  <sheetFormatPr defaultRowHeight="15" x14ac:dyDescent="0.25"/>
  <cols>
    <col min="1" max="1" width="1.85546875" customWidth="1"/>
    <col min="2" max="2" width="33.28515625" customWidth="1"/>
    <col min="3" max="5" width="18.140625" customWidth="1"/>
    <col min="6" max="6" width="23.140625" bestFit="1" customWidth="1"/>
    <col min="7" max="11" width="18.140625" customWidth="1"/>
  </cols>
  <sheetData>
    <row r="2" spans="2:10" ht="24" x14ac:dyDescent="0.4">
      <c r="B2" s="90" t="s">
        <v>152</v>
      </c>
    </row>
    <row r="3" spans="2:10" x14ac:dyDescent="0.25">
      <c r="B3" s="76" t="s">
        <v>153</v>
      </c>
    </row>
    <row r="5" spans="2:10" ht="17.25" x14ac:dyDescent="0.3">
      <c r="B5" s="91" t="s">
        <v>154</v>
      </c>
      <c r="C5" s="92"/>
      <c r="D5" s="92"/>
      <c r="E5" s="92"/>
      <c r="F5" s="92"/>
      <c r="G5" s="92"/>
      <c r="H5" s="92"/>
      <c r="I5" s="92"/>
      <c r="J5" s="92"/>
    </row>
    <row r="7" spans="2:10" x14ac:dyDescent="0.25">
      <c r="B7" s="93" t="s">
        <v>155</v>
      </c>
    </row>
    <row r="8" spans="2:10" x14ac:dyDescent="0.25">
      <c r="B8" s="95" t="s">
        <v>87</v>
      </c>
      <c r="C8" s="95" t="s">
        <v>156</v>
      </c>
      <c r="D8" s="95" t="s">
        <v>157</v>
      </c>
      <c r="E8" s="95" t="s">
        <v>158</v>
      </c>
      <c r="F8" s="95" t="s">
        <v>159</v>
      </c>
    </row>
    <row r="9" spans="2:10" x14ac:dyDescent="0.25">
      <c r="B9" t="str">
        <f>'Comp Table'!B5</f>
        <v>NVIDIA</v>
      </c>
      <c r="C9" s="36">
        <f>'Comp Table'!E5</f>
        <v>215938</v>
      </c>
      <c r="D9" s="37">
        <f>'Comp Table'!F5</f>
        <v>0.65473535790094783</v>
      </c>
      <c r="E9" s="37">
        <f>'Comp Table'!I5</f>
        <v>0.61698265242801176</v>
      </c>
      <c r="F9" s="36">
        <f>'Comp Table'!L5</f>
        <v>5251213.2</v>
      </c>
    </row>
    <row r="10" spans="2:10" x14ac:dyDescent="0.25">
      <c r="B10" t="str">
        <f>'Comp Table'!B6</f>
        <v>Taiwan Semi</v>
      </c>
      <c r="C10" s="36">
        <f>'Comp Table'!E6</f>
        <v>122420</v>
      </c>
      <c r="D10" s="37">
        <f>'Comp Table'!F6</f>
        <v>0.35901420959147434</v>
      </c>
      <c r="E10" s="37">
        <f>'Comp Table'!I6</f>
        <v>0.61010455807874531</v>
      </c>
      <c r="F10" s="36">
        <f>'Comp Table'!L6</f>
        <v>2041672.3599999999</v>
      </c>
    </row>
    <row r="11" spans="2:10" x14ac:dyDescent="0.25">
      <c r="B11" t="str">
        <f>'Comp Table'!B7</f>
        <v>Vertiv</v>
      </c>
      <c r="C11" s="36">
        <f>'Comp Table'!E7</f>
        <v>10229.9</v>
      </c>
      <c r="D11" s="37">
        <f>'Comp Table'!F7</f>
        <v>0.27685414014328869</v>
      </c>
      <c r="E11" s="37">
        <f>'Comp Table'!I7</f>
        <v>0.20902452614395059</v>
      </c>
      <c r="F11" s="36">
        <f>'Comp Table'!L7</f>
        <v>129123.22199999999</v>
      </c>
    </row>
    <row r="12" spans="2:10" x14ac:dyDescent="0.25">
      <c r="B12" t="str">
        <f>'Comp Table'!B8</f>
        <v>Cloudflare</v>
      </c>
      <c r="C12" s="36">
        <f>'Comp Table'!E8</f>
        <v>2167.9369999999999</v>
      </c>
      <c r="D12" s="37">
        <f>'Comp Table'!F8</f>
        <v>0.29845666035387564</v>
      </c>
      <c r="E12" s="37">
        <f>'Comp Table'!I8</f>
        <v>-8.055123373050057E-3</v>
      </c>
      <c r="F12" s="36">
        <f>'Comp Table'!L8</f>
        <v>76348.751569999993</v>
      </c>
    </row>
    <row r="13" spans="2:10" x14ac:dyDescent="0.25">
      <c r="B13" t="str">
        <f>'Comp Table'!B9</f>
        <v>Palantir</v>
      </c>
      <c r="C13" s="36">
        <f>'Comp Table'!E9</f>
        <v>4475.4459999999999</v>
      </c>
      <c r="D13" s="37">
        <f>'Comp Table'!F9</f>
        <v>0.56183390932215471</v>
      </c>
      <c r="E13" s="37">
        <f>'Comp Table'!I9</f>
        <v>0.32179139241094634</v>
      </c>
      <c r="F13" s="36">
        <f>'Comp Table'!L9</f>
        <v>351647.21360000002</v>
      </c>
    </row>
    <row r="14" spans="2:10" x14ac:dyDescent="0.25">
      <c r="B14" t="str">
        <f>'Comp Table'!B10</f>
        <v>MongoDB</v>
      </c>
      <c r="C14" s="36">
        <f>'Comp Table'!E10</f>
        <v>2460</v>
      </c>
      <c r="D14" s="37">
        <f>'Comp Table'!F10</f>
        <v>0.22605027902611741</v>
      </c>
      <c r="E14" s="37">
        <f>'Comp Table'!I10</f>
        <v>-5.0203252032520324E-2</v>
      </c>
      <c r="F14" s="36">
        <f>'Comp Table'!L10</f>
        <v>27720.244999999999</v>
      </c>
    </row>
    <row r="16" spans="2:10" x14ac:dyDescent="0.25">
      <c r="B16" s="93" t="s">
        <v>160</v>
      </c>
    </row>
    <row r="17" spans="2:11" x14ac:dyDescent="0.25">
      <c r="B17" s="95" t="s">
        <v>87</v>
      </c>
      <c r="C17" s="96" t="s">
        <v>161</v>
      </c>
      <c r="D17" s="97" t="s">
        <v>162</v>
      </c>
      <c r="E17" s="98" t="s">
        <v>163</v>
      </c>
      <c r="F17" s="96" t="s">
        <v>164</v>
      </c>
      <c r="G17" s="97" t="s">
        <v>165</v>
      </c>
      <c r="H17" s="98" t="s">
        <v>166</v>
      </c>
    </row>
    <row r="18" spans="2:11" x14ac:dyDescent="0.25">
      <c r="B18" t="s">
        <v>101</v>
      </c>
      <c r="C18" s="99">
        <v>0.2</v>
      </c>
      <c r="D18" s="99">
        <v>0.45</v>
      </c>
      <c r="E18" s="99">
        <v>0.65</v>
      </c>
      <c r="F18" s="99">
        <v>0.45</v>
      </c>
      <c r="G18" s="99">
        <v>0.6</v>
      </c>
      <c r="H18" s="99">
        <v>0.63</v>
      </c>
    </row>
    <row r="19" spans="2:11" x14ac:dyDescent="0.25">
      <c r="B19" t="s">
        <v>102</v>
      </c>
      <c r="C19" s="99">
        <v>0.12</v>
      </c>
      <c r="D19" s="99">
        <v>0.25</v>
      </c>
      <c r="E19" s="99">
        <v>0.35</v>
      </c>
      <c r="F19" s="99">
        <v>0.55000000000000004</v>
      </c>
      <c r="G19" s="99">
        <v>0.6</v>
      </c>
      <c r="H19" s="99">
        <v>0.63</v>
      </c>
    </row>
    <row r="20" spans="2:11" x14ac:dyDescent="0.25">
      <c r="B20" t="s">
        <v>104</v>
      </c>
      <c r="C20" s="99">
        <v>0.1</v>
      </c>
      <c r="D20" s="99">
        <v>0.22</v>
      </c>
      <c r="E20" s="99">
        <v>0.35</v>
      </c>
      <c r="F20" s="99">
        <v>0.18</v>
      </c>
      <c r="G20" s="99">
        <v>0.22</v>
      </c>
      <c r="H20" s="99">
        <v>0.25</v>
      </c>
    </row>
    <row r="21" spans="2:11" x14ac:dyDescent="0.25">
      <c r="B21" t="s">
        <v>105</v>
      </c>
      <c r="C21" s="99">
        <v>0.18</v>
      </c>
      <c r="D21" s="99">
        <v>0.28000000000000003</v>
      </c>
      <c r="E21" s="99">
        <v>0.4</v>
      </c>
      <c r="F21" s="99">
        <v>-0.03</v>
      </c>
      <c r="G21" s="99">
        <v>0.02</v>
      </c>
      <c r="H21" s="99">
        <v>0.08</v>
      </c>
    </row>
    <row r="22" spans="2:11" x14ac:dyDescent="0.25">
      <c r="B22" t="s">
        <v>106</v>
      </c>
      <c r="C22" s="99">
        <v>0.25</v>
      </c>
      <c r="D22" s="99">
        <v>0.4</v>
      </c>
      <c r="E22" s="99">
        <v>0.55000000000000004</v>
      </c>
      <c r="F22" s="99">
        <v>0.28000000000000003</v>
      </c>
      <c r="G22" s="99">
        <v>0.34</v>
      </c>
      <c r="H22" s="99">
        <v>0.4</v>
      </c>
    </row>
    <row r="23" spans="2:11" x14ac:dyDescent="0.25">
      <c r="B23" t="s">
        <v>108</v>
      </c>
      <c r="C23" s="99">
        <v>0.12</v>
      </c>
      <c r="D23" s="99">
        <v>0.2</v>
      </c>
      <c r="E23" s="99">
        <v>0.3</v>
      </c>
      <c r="F23" s="99">
        <v>-0.08</v>
      </c>
      <c r="G23" s="99">
        <v>0</v>
      </c>
      <c r="H23" s="99">
        <v>0.1</v>
      </c>
    </row>
    <row r="25" spans="2:11" ht="17.25" x14ac:dyDescent="0.3">
      <c r="B25" s="91" t="s">
        <v>167</v>
      </c>
      <c r="C25" s="92"/>
      <c r="D25" s="92"/>
      <c r="E25" s="92"/>
      <c r="F25" s="92"/>
      <c r="G25" s="92"/>
      <c r="H25" s="92"/>
      <c r="I25" s="92"/>
      <c r="J25" s="92"/>
    </row>
    <row r="27" spans="2:11" x14ac:dyDescent="0.25">
      <c r="B27" s="236" t="s">
        <v>87</v>
      </c>
      <c r="C27" s="96" t="s">
        <v>168</v>
      </c>
      <c r="D27" s="97" t="s">
        <v>169</v>
      </c>
      <c r="E27" s="98" t="s">
        <v>170</v>
      </c>
      <c r="F27" s="96" t="s">
        <v>171</v>
      </c>
      <c r="G27" s="97" t="s">
        <v>172</v>
      </c>
      <c r="H27" s="98" t="s">
        <v>173</v>
      </c>
      <c r="I27" s="96" t="s">
        <v>174</v>
      </c>
      <c r="J27" s="97" t="s">
        <v>175</v>
      </c>
      <c r="K27" s="98" t="s">
        <v>176</v>
      </c>
    </row>
    <row r="28" spans="2:11" x14ac:dyDescent="0.25">
      <c r="B28" s="235" t="str">
        <f t="shared" ref="B28:B33" si="0">B18</f>
        <v>NVIDIA</v>
      </c>
      <c r="C28" s="237">
        <f t="shared" ref="C28:C33" si="1">C9*(1+C18)</f>
        <v>259125.59999999998</v>
      </c>
      <c r="D28" s="237">
        <f t="shared" ref="D28:D33" si="2">C9*(1+D18)</f>
        <v>313110.09999999998</v>
      </c>
      <c r="E28" s="237">
        <f t="shared" ref="E28:E33" si="3">C9*(1+E18)</f>
        <v>356297.69999999995</v>
      </c>
      <c r="F28" s="237">
        <f t="shared" ref="F28:H33" si="4">C28*F18</f>
        <v>116606.51999999999</v>
      </c>
      <c r="G28" s="237">
        <f t="shared" si="4"/>
        <v>187866.05999999997</v>
      </c>
      <c r="H28" s="237">
        <f t="shared" si="4"/>
        <v>224467.55099999998</v>
      </c>
      <c r="I28" s="101">
        <f t="shared" ref="I28:K33" si="5">IFERROR(IF(F28&lt;=0,NA(),$F9/F28),NA())</f>
        <v>45.033615616005008</v>
      </c>
      <c r="J28" s="101">
        <f t="shared" si="5"/>
        <v>27.951899347865183</v>
      </c>
      <c r="K28" s="100">
        <f t="shared" si="5"/>
        <v>23.394086034288318</v>
      </c>
    </row>
    <row r="29" spans="2:11" x14ac:dyDescent="0.25">
      <c r="B29" s="235" t="str">
        <f t="shared" si="0"/>
        <v>Taiwan Semi</v>
      </c>
      <c r="C29" s="237">
        <f t="shared" si="1"/>
        <v>137110.40000000002</v>
      </c>
      <c r="D29" s="237">
        <f t="shared" si="2"/>
        <v>153025</v>
      </c>
      <c r="E29" s="237">
        <f t="shared" si="3"/>
        <v>165267</v>
      </c>
      <c r="F29" s="237">
        <f t="shared" si="4"/>
        <v>75410.720000000016</v>
      </c>
      <c r="G29" s="237">
        <f t="shared" si="4"/>
        <v>91815</v>
      </c>
      <c r="H29" s="237">
        <f t="shared" si="4"/>
        <v>104118.21</v>
      </c>
      <c r="I29" s="100">
        <f t="shared" si="5"/>
        <v>27.07403350611159</v>
      </c>
      <c r="J29" s="100">
        <f t="shared" si="5"/>
        <v>22.23680618635299</v>
      </c>
      <c r="K29" s="100">
        <f t="shared" si="5"/>
        <v>19.609176531175475</v>
      </c>
    </row>
    <row r="30" spans="2:11" x14ac:dyDescent="0.25">
      <c r="B30" s="235" t="str">
        <f t="shared" si="0"/>
        <v>Vertiv</v>
      </c>
      <c r="C30" s="237">
        <f t="shared" si="1"/>
        <v>11252.890000000001</v>
      </c>
      <c r="D30" s="237">
        <f t="shared" si="2"/>
        <v>12480.477999999999</v>
      </c>
      <c r="E30" s="237">
        <f t="shared" si="3"/>
        <v>13810.365</v>
      </c>
      <c r="F30" s="237">
        <f t="shared" si="4"/>
        <v>2025.5202000000002</v>
      </c>
      <c r="G30" s="237">
        <f t="shared" si="4"/>
        <v>2745.70516</v>
      </c>
      <c r="H30" s="237">
        <f t="shared" si="4"/>
        <v>3452.5912499999999</v>
      </c>
      <c r="I30" s="102">
        <f t="shared" si="5"/>
        <v>63.748177875490939</v>
      </c>
      <c r="J30" s="103">
        <f t="shared" si="5"/>
        <v>47.027344334378569</v>
      </c>
      <c r="K30" s="104">
        <f t="shared" si="5"/>
        <v>37.398931020288025</v>
      </c>
    </row>
    <row r="31" spans="2:11" x14ac:dyDescent="0.25">
      <c r="B31" s="235" t="str">
        <f t="shared" si="0"/>
        <v>Cloudflare</v>
      </c>
      <c r="C31" s="237">
        <f t="shared" si="1"/>
        <v>2558.1656599999997</v>
      </c>
      <c r="D31" s="237">
        <f t="shared" si="2"/>
        <v>2774.9593599999998</v>
      </c>
      <c r="E31" s="237">
        <f t="shared" si="3"/>
        <v>3035.1117999999997</v>
      </c>
      <c r="F31" s="237">
        <f t="shared" si="4"/>
        <v>-76.744969799999993</v>
      </c>
      <c r="G31" s="237">
        <f t="shared" si="4"/>
        <v>55.499187199999994</v>
      </c>
      <c r="H31" s="237">
        <f t="shared" si="4"/>
        <v>242.80894399999997</v>
      </c>
      <c r="I31" s="100" t="e">
        <f t="shared" si="5"/>
        <v>#N/A</v>
      </c>
      <c r="J31" s="100">
        <f t="shared" si="5"/>
        <v>1375.6733282393009</v>
      </c>
      <c r="K31" s="100">
        <f t="shared" si="5"/>
        <v>314.43961788326874</v>
      </c>
    </row>
    <row r="32" spans="2:11" x14ac:dyDescent="0.25">
      <c r="B32" s="235" t="str">
        <f t="shared" si="0"/>
        <v>Palantir</v>
      </c>
      <c r="C32" s="237">
        <f t="shared" si="1"/>
        <v>5594.3074999999999</v>
      </c>
      <c r="D32" s="237">
        <f t="shared" si="2"/>
        <v>6265.6243999999997</v>
      </c>
      <c r="E32" s="237">
        <f t="shared" si="3"/>
        <v>6936.9413000000004</v>
      </c>
      <c r="F32" s="237">
        <f t="shared" si="4"/>
        <v>1566.4061000000002</v>
      </c>
      <c r="G32" s="237">
        <f t="shared" si="4"/>
        <v>2130.3122960000001</v>
      </c>
      <c r="H32" s="237">
        <f t="shared" si="4"/>
        <v>2774.7765200000003</v>
      </c>
      <c r="I32" s="100">
        <f t="shared" si="5"/>
        <v>224.49300574097609</v>
      </c>
      <c r="J32" s="100">
        <f t="shared" si="5"/>
        <v>165.06838657424714</v>
      </c>
      <c r="K32" s="100">
        <f t="shared" si="5"/>
        <v>126.72992259571231</v>
      </c>
    </row>
    <row r="33" spans="2:11" x14ac:dyDescent="0.25">
      <c r="B33" s="235" t="str">
        <f t="shared" si="0"/>
        <v>MongoDB</v>
      </c>
      <c r="C33" s="237">
        <f t="shared" si="1"/>
        <v>2755.2000000000003</v>
      </c>
      <c r="D33" s="237">
        <f t="shared" si="2"/>
        <v>2952</v>
      </c>
      <c r="E33" s="237">
        <f t="shared" si="3"/>
        <v>3198</v>
      </c>
      <c r="F33" s="237">
        <f t="shared" si="4"/>
        <v>-220.41600000000003</v>
      </c>
      <c r="G33" s="237">
        <f t="shared" si="4"/>
        <v>0</v>
      </c>
      <c r="H33" s="237">
        <f t="shared" si="4"/>
        <v>319.8</v>
      </c>
      <c r="I33" s="100" t="e">
        <f t="shared" si="5"/>
        <v>#N/A</v>
      </c>
      <c r="J33" s="100" t="e">
        <f t="shared" si="5"/>
        <v>#N/A</v>
      </c>
      <c r="K33" s="100">
        <f t="shared" si="5"/>
        <v>86.679940587867407</v>
      </c>
    </row>
    <row r="35" spans="2:11" ht="17.25" x14ac:dyDescent="0.3">
      <c r="B35" s="91" t="s">
        <v>177</v>
      </c>
      <c r="C35" s="92"/>
      <c r="D35" s="92"/>
      <c r="E35" s="92"/>
      <c r="F35" s="92"/>
      <c r="G35" s="92"/>
      <c r="H35" s="92"/>
    </row>
    <row r="36" spans="2:11" x14ac:dyDescent="0.25">
      <c r="B36" s="72" t="s">
        <v>178</v>
      </c>
    </row>
    <row r="38" spans="2:11" x14ac:dyDescent="0.25">
      <c r="B38" s="4" t="s">
        <v>179</v>
      </c>
      <c r="C38" s="106">
        <f>'Comp Table'!H5-'Comp Table'!I5</f>
        <v>9.3698191147459031E-2</v>
      </c>
    </row>
    <row r="40" spans="2:11" x14ac:dyDescent="0.25">
      <c r="B40" s="95" t="s">
        <v>144</v>
      </c>
      <c r="C40" s="95" t="s">
        <v>180</v>
      </c>
      <c r="D40" s="95" t="s">
        <v>181</v>
      </c>
      <c r="E40" s="95" t="s">
        <v>182</v>
      </c>
      <c r="F40" s="95" t="s">
        <v>183</v>
      </c>
      <c r="G40" s="95" t="s">
        <v>184</v>
      </c>
    </row>
    <row r="41" spans="2:11" x14ac:dyDescent="0.25">
      <c r="B41" s="107" t="s">
        <v>185</v>
      </c>
      <c r="C41" s="99">
        <v>0.65</v>
      </c>
      <c r="D41" s="37">
        <f>C41-$C$38</f>
        <v>0.55630180885254099</v>
      </c>
      <c r="E41" s="36">
        <f>D41*$C$9</f>
        <v>120126.7</v>
      </c>
      <c r="F41" s="100">
        <f>$F$9/E41</f>
        <v>43.713955348810885</v>
      </c>
      <c r="G41" s="109">
        <f>F41-'Comp Table'!N5</f>
        <v>4.2993099986645191</v>
      </c>
    </row>
    <row r="42" spans="2:11" x14ac:dyDescent="0.25">
      <c r="B42" s="105" t="s">
        <v>186</v>
      </c>
      <c r="C42" s="99">
        <v>0.75</v>
      </c>
      <c r="D42" s="37">
        <f>C42-$C$38</f>
        <v>0.65630180885254097</v>
      </c>
      <c r="E42" s="36">
        <f>D42*$C$9</f>
        <v>141720.5</v>
      </c>
      <c r="F42" s="100">
        <f>$F$9/E42</f>
        <v>37.053307037443417</v>
      </c>
      <c r="G42" s="109">
        <f>F42-'Comp Table'!N5</f>
        <v>-2.3613383127029479</v>
      </c>
    </row>
    <row r="43" spans="2:11" x14ac:dyDescent="0.25">
      <c r="B43" s="110" t="s">
        <v>187</v>
      </c>
      <c r="C43" s="99">
        <v>0.8</v>
      </c>
      <c r="D43" s="37">
        <f>C43-$C$38</f>
        <v>0.70630180885254101</v>
      </c>
      <c r="E43" s="36">
        <f>D43*$C$9</f>
        <v>152517.4</v>
      </c>
      <c r="F43" s="100">
        <f>$F$9/E43</f>
        <v>34.430256482211213</v>
      </c>
      <c r="G43" s="109">
        <f>F43-'Comp Table'!N5</f>
        <v>-4.9843888679351522</v>
      </c>
    </row>
    <row r="44" spans="2:11" x14ac:dyDescent="0.25">
      <c r="B44" s="76" t="s">
        <v>188</v>
      </c>
      <c r="C44" s="111">
        <f>'Comp Table'!H5</f>
        <v>0.71068084357547079</v>
      </c>
      <c r="D44" s="111">
        <f>'Comp Table'!I5</f>
        <v>0.61698265242801176</v>
      </c>
      <c r="E44" s="112">
        <f>D44*$C$9</f>
        <v>133230</v>
      </c>
      <c r="F44" s="113">
        <f>'Comp Table'!N5</f>
        <v>39.414645350146365</v>
      </c>
    </row>
    <row r="46" spans="2:11" ht="17.25" x14ac:dyDescent="0.3">
      <c r="B46" s="91" t="s">
        <v>189</v>
      </c>
      <c r="C46" s="92"/>
      <c r="D46" s="92"/>
      <c r="E46" s="92"/>
      <c r="F46" s="92"/>
      <c r="G46" s="92"/>
      <c r="H46" s="92"/>
      <c r="I46" s="92"/>
    </row>
    <row r="47" spans="2:11" x14ac:dyDescent="0.25">
      <c r="B47" s="72" t="s">
        <v>190</v>
      </c>
    </row>
    <row r="49" spans="2:10" x14ac:dyDescent="0.25">
      <c r="B49" s="95" t="s">
        <v>191</v>
      </c>
      <c r="C49" s="114">
        <v>0.15</v>
      </c>
      <c r="D49" s="114">
        <v>0.2</v>
      </c>
      <c r="E49" s="114">
        <v>0.25</v>
      </c>
      <c r="F49" s="114">
        <v>0.3</v>
      </c>
      <c r="G49" s="114">
        <v>0.35</v>
      </c>
    </row>
    <row r="50" spans="2:10" ht="17.25" x14ac:dyDescent="0.3">
      <c r="B50" s="114">
        <v>0.2</v>
      </c>
      <c r="C50" s="116">
        <f t="shared" ref="C50:G54" si="6">$F$13/($C$13*(1+C$49)*$B50)</f>
        <v>341.61979134496369</v>
      </c>
      <c r="D50" s="117">
        <f t="shared" si="6"/>
        <v>327.3856333722569</v>
      </c>
      <c r="E50" s="117">
        <f t="shared" si="6"/>
        <v>314.2902080373666</v>
      </c>
      <c r="F50" s="117">
        <f t="shared" si="6"/>
        <v>302.20212311285246</v>
      </c>
      <c r="G50" s="117">
        <f t="shared" si="6"/>
        <v>291.00945188645056</v>
      </c>
      <c r="H50" s="92"/>
      <c r="I50" s="92"/>
      <c r="J50" s="92"/>
    </row>
    <row r="51" spans="2:10" x14ac:dyDescent="0.25">
      <c r="B51" s="114">
        <v>0.25</v>
      </c>
      <c r="C51" s="118">
        <f t="shared" si="6"/>
        <v>273.29583307597096</v>
      </c>
      <c r="D51" s="115">
        <f t="shared" si="6"/>
        <v>261.90850669780554</v>
      </c>
      <c r="E51" s="115">
        <f t="shared" si="6"/>
        <v>251.43216642989327</v>
      </c>
      <c r="F51" s="115">
        <f t="shared" si="6"/>
        <v>241.76169849028196</v>
      </c>
      <c r="G51" s="115">
        <f t="shared" si="6"/>
        <v>232.80756150916042</v>
      </c>
    </row>
    <row r="52" spans="2:10" x14ac:dyDescent="0.25">
      <c r="B52" s="114">
        <v>0.3</v>
      </c>
      <c r="C52" s="115">
        <f t="shared" si="6"/>
        <v>227.74652756330912</v>
      </c>
      <c r="D52" s="115">
        <f t="shared" si="6"/>
        <v>218.25708891483794</v>
      </c>
      <c r="E52" s="119">
        <f t="shared" si="6"/>
        <v>209.52680535824439</v>
      </c>
      <c r="F52" s="115">
        <f t="shared" si="6"/>
        <v>201.46808207523497</v>
      </c>
      <c r="G52" s="115">
        <f t="shared" si="6"/>
        <v>194.00630125763368</v>
      </c>
    </row>
    <row r="53" spans="2:10" x14ac:dyDescent="0.25">
      <c r="B53" s="114">
        <v>0.35</v>
      </c>
      <c r="C53" s="120">
        <f t="shared" si="6"/>
        <v>195.21130933997927</v>
      </c>
      <c r="D53" s="121">
        <f t="shared" si="6"/>
        <v>187.07750478414681</v>
      </c>
      <c r="E53" s="121">
        <f t="shared" si="6"/>
        <v>179.59440459278093</v>
      </c>
      <c r="F53" s="121">
        <f t="shared" si="6"/>
        <v>172.68692749305856</v>
      </c>
      <c r="G53" s="121">
        <f t="shared" si="6"/>
        <v>166.291115363686</v>
      </c>
      <c r="H53" s="114">
        <v>0.35</v>
      </c>
    </row>
    <row r="54" spans="2:10" x14ac:dyDescent="0.25">
      <c r="B54" s="114">
        <v>0.4</v>
      </c>
      <c r="C54" s="121">
        <f t="shared" si="6"/>
        <v>170.80989567248184</v>
      </c>
      <c r="D54" s="115">
        <f t="shared" si="6"/>
        <v>163.69281668612845</v>
      </c>
      <c r="E54" s="115">
        <f t="shared" si="6"/>
        <v>157.1451040186833</v>
      </c>
      <c r="F54" s="115">
        <f t="shared" si="6"/>
        <v>151.10106155642623</v>
      </c>
      <c r="G54" s="115">
        <f t="shared" si="6"/>
        <v>145.50472594322528</v>
      </c>
    </row>
    <row r="55" spans="2:10" x14ac:dyDescent="0.25">
      <c r="B55" s="77" t="s">
        <v>192</v>
      </c>
      <c r="C55" s="122">
        <f>'Comp Table'!N9</f>
        <v>244.17232363070769</v>
      </c>
    </row>
    <row r="56" spans="2:10" x14ac:dyDescent="0.25">
      <c r="C56" s="114">
        <v>0.3</v>
      </c>
    </row>
    <row r="57" spans="2:10" ht="17.25" x14ac:dyDescent="0.3">
      <c r="B57" s="123" t="s">
        <v>193</v>
      </c>
      <c r="C57" s="124">
        <v>0.35</v>
      </c>
      <c r="D57" s="125"/>
      <c r="E57" s="125"/>
      <c r="F57" s="125"/>
      <c r="G57" s="125"/>
      <c r="H57" s="125"/>
      <c r="I57" s="125"/>
      <c r="J57" s="125"/>
    </row>
    <row r="58" spans="2:10" x14ac:dyDescent="0.25">
      <c r="B58" s="72" t="s">
        <v>194</v>
      </c>
      <c r="C58" s="114">
        <v>0.4</v>
      </c>
    </row>
    <row r="59" spans="2:10" x14ac:dyDescent="0.25">
      <c r="B59" s="126" t="s">
        <v>195</v>
      </c>
      <c r="C59" s="127">
        <v>-0.3</v>
      </c>
    </row>
    <row r="61" spans="2:10" x14ac:dyDescent="0.25">
      <c r="B61" s="95" t="s">
        <v>87</v>
      </c>
      <c r="C61" s="95" t="s">
        <v>196</v>
      </c>
      <c r="D61" s="95" t="s">
        <v>197</v>
      </c>
      <c r="E61" s="95" t="s">
        <v>198</v>
      </c>
      <c r="F61" s="95" t="s">
        <v>199</v>
      </c>
      <c r="G61" s="95" t="s">
        <v>200</v>
      </c>
      <c r="H61" s="95" t="s">
        <v>201</v>
      </c>
      <c r="I61" s="95" t="s">
        <v>202</v>
      </c>
      <c r="J61" s="95" t="s">
        <v>203</v>
      </c>
    </row>
    <row r="62" spans="2:10" x14ac:dyDescent="0.25">
      <c r="B62" t="str">
        <f t="shared" ref="B62:B67" si="7">B9</f>
        <v>NVIDIA</v>
      </c>
      <c r="C62" s="99">
        <v>0.85</v>
      </c>
      <c r="D62" s="37">
        <f t="shared" ref="D62:D67" si="8">C62*$C$59</f>
        <v>-0.255</v>
      </c>
      <c r="E62" s="36">
        <f t="shared" ref="E62:E67" si="9">$C9*(1+D62)</f>
        <v>160873.81</v>
      </c>
      <c r="F62" s="37">
        <f t="shared" ref="F62:F67" si="10">MAX($E9+D62*0.5,-0.1)</f>
        <v>0.48948265242801176</v>
      </c>
      <c r="G62" s="36">
        <f t="shared" ref="G62:G67" si="11">E62*F62</f>
        <v>78744.939224999995</v>
      </c>
      <c r="H62" s="100">
        <f t="shared" ref="H62:H67" si="12">IFERROR(IF(G62&lt;=0,NA(),$F9/G62),NA())</f>
        <v>66.686357900354338</v>
      </c>
      <c r="I62" s="109">
        <f>IFERROR(H62-'Comp Table'!N5,NA())</f>
        <v>27.271712550207972</v>
      </c>
      <c r="J62" s="128">
        <f t="shared" ref="J62:J67" si="13">RANK(C62,$C$62:$C$67)</f>
        <v>1</v>
      </c>
    </row>
    <row r="63" spans="2:10" x14ac:dyDescent="0.25">
      <c r="B63" t="str">
        <f t="shared" si="7"/>
        <v>Taiwan Semi</v>
      </c>
      <c r="C63" s="99">
        <v>0.5</v>
      </c>
      <c r="D63" s="37">
        <f t="shared" si="8"/>
        <v>-0.15</v>
      </c>
      <c r="E63" s="36">
        <f t="shared" si="9"/>
        <v>104057</v>
      </c>
      <c r="F63" s="37">
        <f t="shared" si="10"/>
        <v>0.53510455807874535</v>
      </c>
      <c r="G63" s="36">
        <f t="shared" si="11"/>
        <v>55681.375000000007</v>
      </c>
      <c r="H63" s="100">
        <f t="shared" si="12"/>
        <v>36.667060754157013</v>
      </c>
      <c r="I63" s="109">
        <f>IFERROR(H63-'Comp Table'!N6,NA())</f>
        <v>9.3314107923152463</v>
      </c>
      <c r="J63" s="128">
        <f t="shared" si="13"/>
        <v>3</v>
      </c>
    </row>
    <row r="64" spans="2:10" x14ac:dyDescent="0.25">
      <c r="B64" t="str">
        <f t="shared" si="7"/>
        <v>Vertiv</v>
      </c>
      <c r="C64" s="99">
        <v>0.7</v>
      </c>
      <c r="D64" s="37">
        <f t="shared" si="8"/>
        <v>-0.21</v>
      </c>
      <c r="E64" s="36">
        <f t="shared" si="9"/>
        <v>8081.6210000000001</v>
      </c>
      <c r="F64" s="37">
        <f t="shared" si="10"/>
        <v>0.10402452614395059</v>
      </c>
      <c r="G64" s="36">
        <f t="shared" si="11"/>
        <v>840.68679500000019</v>
      </c>
      <c r="H64" s="100">
        <f t="shared" si="12"/>
        <v>153.59254215477475</v>
      </c>
      <c r="I64" s="109">
        <f>IFERROR(H64-'Comp Table'!N7,NA())</f>
        <v>93.206617822361153</v>
      </c>
      <c r="J64" s="128">
        <f t="shared" si="13"/>
        <v>2</v>
      </c>
    </row>
    <row r="65" spans="2:10" x14ac:dyDescent="0.25">
      <c r="B65" t="str">
        <f t="shared" si="7"/>
        <v>Cloudflare</v>
      </c>
      <c r="C65" s="99">
        <v>0.15</v>
      </c>
      <c r="D65" s="37">
        <f t="shared" si="8"/>
        <v>-4.4999999999999998E-2</v>
      </c>
      <c r="E65" s="36">
        <f t="shared" si="9"/>
        <v>2070.3798349999997</v>
      </c>
      <c r="F65" s="37">
        <f t="shared" si="10"/>
        <v>-3.0555123373050056E-2</v>
      </c>
      <c r="G65" s="36">
        <f t="shared" si="11"/>
        <v>-63.260711287500008</v>
      </c>
      <c r="H65" s="100" t="e">
        <f t="shared" si="12"/>
        <v>#N/A</v>
      </c>
      <c r="I65" s="109" t="e">
        <f>IFERROR(H65-'Comp Table'!N8,NA())</f>
        <v>#N/A</v>
      </c>
      <c r="J65" s="128">
        <f t="shared" si="13"/>
        <v>6</v>
      </c>
    </row>
    <row r="66" spans="2:10" x14ac:dyDescent="0.25">
      <c r="B66" t="str">
        <f t="shared" si="7"/>
        <v>Palantir</v>
      </c>
      <c r="C66" s="99">
        <v>0.4</v>
      </c>
      <c r="D66" s="37">
        <f t="shared" si="8"/>
        <v>-0.12</v>
      </c>
      <c r="E66" s="36">
        <f t="shared" si="9"/>
        <v>3938.39248</v>
      </c>
      <c r="F66" s="37">
        <f t="shared" si="10"/>
        <v>0.26179139241094634</v>
      </c>
      <c r="G66" s="36">
        <f t="shared" si="11"/>
        <v>1031.0372512000001</v>
      </c>
      <c r="H66" s="100">
        <f t="shared" si="12"/>
        <v>341.06159907484044</v>
      </c>
      <c r="I66" s="109">
        <f>IFERROR(H66-'Comp Table'!N9,NA())</f>
        <v>96.88927544413275</v>
      </c>
      <c r="J66" s="128">
        <f t="shared" si="13"/>
        <v>4</v>
      </c>
    </row>
    <row r="67" spans="2:10" x14ac:dyDescent="0.25">
      <c r="B67" t="str">
        <f t="shared" si="7"/>
        <v>MongoDB</v>
      </c>
      <c r="C67" s="99">
        <v>0.2</v>
      </c>
      <c r="D67" s="37">
        <f t="shared" si="8"/>
        <v>-0.06</v>
      </c>
      <c r="E67" s="36">
        <f t="shared" si="9"/>
        <v>2312.4</v>
      </c>
      <c r="F67" s="37">
        <f t="shared" si="10"/>
        <v>-8.0203252032520322E-2</v>
      </c>
      <c r="G67" s="36">
        <f t="shared" si="11"/>
        <v>-185.46199999999999</v>
      </c>
      <c r="H67" s="100" t="e">
        <f t="shared" si="12"/>
        <v>#N/A</v>
      </c>
      <c r="I67" s="109" t="e">
        <f>IFERROR(H67-'Comp Table'!N10,NA())</f>
        <v>#N/A</v>
      </c>
      <c r="J67" s="128">
        <f t="shared" si="13"/>
        <v>5</v>
      </c>
    </row>
    <row r="69" spans="2:10" ht="17.25" x14ac:dyDescent="0.3">
      <c r="B69" s="91" t="s">
        <v>204</v>
      </c>
      <c r="C69" s="92"/>
      <c r="D69" s="92"/>
      <c r="E69" s="92"/>
      <c r="F69" s="92"/>
      <c r="G69" s="92"/>
      <c r="H69" s="92"/>
      <c r="I69" s="92"/>
      <c r="J69" s="92"/>
    </row>
    <row r="71" spans="2:10" x14ac:dyDescent="0.25">
      <c r="B71" s="93" t="s">
        <v>205</v>
      </c>
    </row>
    <row r="72" spans="2:10" x14ac:dyDescent="0.25">
      <c r="B72" s="129" t="s">
        <v>206</v>
      </c>
    </row>
    <row r="73" spans="2:10" x14ac:dyDescent="0.25">
      <c r="B73" s="93" t="s">
        <v>207</v>
      </c>
    </row>
    <row r="74" spans="2:10" x14ac:dyDescent="0.25">
      <c r="B74" s="129" t="s">
        <v>208</v>
      </c>
    </row>
    <row r="75" spans="2:10" x14ac:dyDescent="0.25">
      <c r="B75" s="93" t="s">
        <v>306</v>
      </c>
    </row>
    <row r="76" spans="2:10" x14ac:dyDescent="0.25">
      <c r="B76" s="129" t="s">
        <v>307</v>
      </c>
    </row>
    <row r="77" spans="2:10" x14ac:dyDescent="0.25">
      <c r="B77" s="93" t="s">
        <v>209</v>
      </c>
    </row>
    <row r="78" spans="2:10" x14ac:dyDescent="0.25">
      <c r="B78" s="129" t="s">
        <v>210</v>
      </c>
    </row>
    <row r="79" spans="2:10" x14ac:dyDescent="0.25">
      <c r="B79" s="93" t="s">
        <v>211</v>
      </c>
    </row>
    <row r="80" spans="2:10" x14ac:dyDescent="0.25">
      <c r="B80" s="129" t="s">
        <v>212</v>
      </c>
    </row>
    <row r="81" spans="2:2" x14ac:dyDescent="0.25">
      <c r="B81" s="93" t="s">
        <v>213</v>
      </c>
    </row>
    <row r="82" spans="2:2" x14ac:dyDescent="0.25">
      <c r="B82" s="130" t="s">
        <v>214</v>
      </c>
    </row>
  </sheetData>
  <conditionalFormatting sqref="C50:G5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62:I67">
    <cfRule type="colorScale" priority="1">
      <colorScale>
        <cfvo type="min"/>
        <cfvo type="num" val="10"/>
        <cfvo type="max"/>
        <color rgb="FF63BE7B"/>
        <color rgb="FFFFEB84"/>
        <color rgb="FFF8696B"/>
      </colorScale>
    </cfRule>
  </conditionalFormatting>
  <conditionalFormatting sqref="I28:K3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dataValidations count="1">
    <dataValidation type="list" errorStyle="warning" allowBlank="1" showInputMessage="1" showErrorMessage="1" errorTitle="Capex Shock Magnitude" error="Use a value between -50% and +10%, or pick from the dropdown." promptTitle="Global Capex Shock" prompt="Global AI capex change applied to each company's AI-tied revenue share._x000a_-30% = base-case stress_x000a_-50% = severe recession_x000a_+10% = continued acceleration" sqref="C59" xr:uid="{EF4924B2-B442-4C38-B0AB-A001FB495BFD}">
      <formula1>"-0.5,-0.3,-0.2,-0.1,0,0.1"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90078-F8CF-4B57-870F-6D0D8E8903EA}">
  <dimension ref="B2:F135"/>
  <sheetViews>
    <sheetView workbookViewId="0">
      <pane ySplit="3" topLeftCell="A4" activePane="bottomLeft" state="frozen"/>
      <selection pane="bottomLeft" activeCell="D133" sqref="D133"/>
    </sheetView>
  </sheetViews>
  <sheetFormatPr defaultRowHeight="15" x14ac:dyDescent="0.25"/>
  <cols>
    <col min="1" max="1" width="1.85546875" customWidth="1"/>
    <col min="2" max="2" width="24.7109375" customWidth="1"/>
    <col min="3" max="5" width="21" customWidth="1"/>
    <col min="6" max="14" width="13.28515625" customWidth="1"/>
  </cols>
  <sheetData>
    <row r="2" spans="2:5" ht="24" x14ac:dyDescent="0.4">
      <c r="B2" s="90" t="s">
        <v>215</v>
      </c>
    </row>
    <row r="3" spans="2:5" x14ac:dyDescent="0.25">
      <c r="B3" s="76" t="s">
        <v>216</v>
      </c>
    </row>
    <row r="5" spans="2:5" ht="15.75" x14ac:dyDescent="0.25">
      <c r="B5" s="131" t="s">
        <v>217</v>
      </c>
      <c r="C5" s="92"/>
      <c r="D5" s="92"/>
      <c r="E5" s="92"/>
    </row>
    <row r="6" spans="2:5" x14ac:dyDescent="0.25">
      <c r="B6" s="32" t="s">
        <v>218</v>
      </c>
    </row>
    <row r="7" spans="2:5" x14ac:dyDescent="0.25">
      <c r="B7" s="94" t="s">
        <v>86</v>
      </c>
      <c r="C7" s="95" t="s">
        <v>89</v>
      </c>
      <c r="D7" s="95" t="s">
        <v>90</v>
      </c>
    </row>
    <row r="8" spans="2:5" x14ac:dyDescent="0.25">
      <c r="B8" t="str">
        <f>'Comp Table'!C5</f>
        <v>NVDA</v>
      </c>
      <c r="C8" s="37">
        <f>'Comp Table'!F5</f>
        <v>0.65473535790094783</v>
      </c>
      <c r="D8" s="37">
        <f>'Comp Table'!G5</f>
        <v>1.0004509499443963</v>
      </c>
    </row>
    <row r="9" spans="2:5" x14ac:dyDescent="0.25">
      <c r="B9" t="str">
        <f>'Comp Table'!C6</f>
        <v>TSM</v>
      </c>
      <c r="C9" s="37">
        <f>'Comp Table'!F6</f>
        <v>0.35901420959147434</v>
      </c>
      <c r="D9" s="37">
        <f>'Comp Table'!G6</f>
        <v>0.17284787229042031</v>
      </c>
    </row>
    <row r="10" spans="2:5" x14ac:dyDescent="0.25">
      <c r="B10" t="str">
        <f>'Comp Table'!C7</f>
        <v>VRT</v>
      </c>
      <c r="C10" s="37">
        <f>'Comp Table'!F7</f>
        <v>0.27685414014328869</v>
      </c>
      <c r="D10" s="37">
        <f>'Comp Table'!G7</f>
        <v>0.21585434016498239</v>
      </c>
    </row>
    <row r="11" spans="2:5" x14ac:dyDescent="0.25">
      <c r="B11" t="str">
        <f>'Comp Table'!C8</f>
        <v>NET</v>
      </c>
      <c r="C11" s="37">
        <f>'Comp Table'!F8</f>
        <v>0.29845666035387564</v>
      </c>
      <c r="D11" s="37">
        <f>'Comp Table'!G8</f>
        <v>0.30510334305337783</v>
      </c>
    </row>
    <row r="12" spans="2:5" x14ac:dyDescent="0.25">
      <c r="B12" t="str">
        <f>'Comp Table'!C9</f>
        <v>PLTR</v>
      </c>
      <c r="C12" s="37">
        <f>'Comp Table'!F9</f>
        <v>0.56183390932215471</v>
      </c>
      <c r="D12" s="37">
        <f>'Comp Table'!G9</f>
        <v>0.32917125287657845</v>
      </c>
    </row>
    <row r="13" spans="2:5" x14ac:dyDescent="0.25">
      <c r="B13" t="str">
        <f>'Comp Table'!C10</f>
        <v>MDB</v>
      </c>
      <c r="C13" s="37">
        <f>'Comp Table'!F10</f>
        <v>0.22605027902611741</v>
      </c>
      <c r="D13" s="37">
        <f>'Comp Table'!G10</f>
        <v>0.24199215140447738</v>
      </c>
    </row>
    <row r="15" spans="2:5" x14ac:dyDescent="0.25">
      <c r="B15" s="132" t="s">
        <v>234</v>
      </c>
      <c r="C15" s="129" t="s">
        <v>235</v>
      </c>
    </row>
    <row r="25" spans="2:5" ht="15.75" x14ac:dyDescent="0.25">
      <c r="B25" s="131" t="s">
        <v>219</v>
      </c>
      <c r="C25" s="92"/>
      <c r="D25" s="92"/>
      <c r="E25" s="92"/>
    </row>
    <row r="26" spans="2:5" x14ac:dyDescent="0.25">
      <c r="B26" s="32" t="s">
        <v>220</v>
      </c>
    </row>
    <row r="27" spans="2:5" x14ac:dyDescent="0.25">
      <c r="B27" s="94" t="s">
        <v>86</v>
      </c>
      <c r="C27" s="95" t="s">
        <v>91</v>
      </c>
      <c r="D27" s="95" t="s">
        <v>92</v>
      </c>
      <c r="E27" s="95" t="s">
        <v>93</v>
      </c>
    </row>
    <row r="28" spans="2:5" x14ac:dyDescent="0.25">
      <c r="B28" t="str">
        <f>'Comp Table'!C5</f>
        <v>NVDA</v>
      </c>
      <c r="C28" s="37">
        <f>'Comp Table'!H5</f>
        <v>0.71068084357547079</v>
      </c>
      <c r="D28" s="37">
        <f>'Comp Table'!I5</f>
        <v>0.61698265242801176</v>
      </c>
      <c r="E28" s="37">
        <f>'Comp Table'!J5</f>
        <v>0.44770258129648327</v>
      </c>
    </row>
    <row r="29" spans="2:5" x14ac:dyDescent="0.25">
      <c r="B29" t="str">
        <f>'Comp Table'!C6</f>
        <v>TSM</v>
      </c>
      <c r="C29" s="37">
        <f>'Comp Table'!H6</f>
        <v>0.5989952622120569</v>
      </c>
      <c r="D29" s="37">
        <f>'Comp Table'!I6</f>
        <v>0.61010455807874531</v>
      </c>
      <c r="E29" s="37">
        <f>'Comp Table'!J6</f>
        <v>0.37412187551053749</v>
      </c>
    </row>
    <row r="30" spans="2:5" x14ac:dyDescent="0.25">
      <c r="B30" t="str">
        <f>'Comp Table'!C7</f>
        <v>VRT</v>
      </c>
      <c r="C30" s="37">
        <f>'Comp Table'!H7</f>
        <v>0.36317070548099201</v>
      </c>
      <c r="D30" s="37">
        <f>'Comp Table'!I7</f>
        <v>0.20902452614395059</v>
      </c>
      <c r="E30" s="37">
        <f>'Comp Table'!J7</f>
        <v>0.18512399925707976</v>
      </c>
    </row>
    <row r="31" spans="2:5" x14ac:dyDescent="0.25">
      <c r="B31" t="str">
        <f>'Comp Table'!C8</f>
        <v>NET</v>
      </c>
      <c r="C31" s="37">
        <f>'Comp Table'!H8</f>
        <v>0.74513788915452794</v>
      </c>
      <c r="D31" s="37">
        <f>'Comp Table'!I8</f>
        <v>-8.055123373050057E-3</v>
      </c>
      <c r="E31" s="37">
        <f>'Comp Table'!J8</f>
        <v>0.13261317095469105</v>
      </c>
    </row>
    <row r="32" spans="2:5" x14ac:dyDescent="0.25">
      <c r="B32" t="str">
        <f>'Comp Table'!C9</f>
        <v>PLTR</v>
      </c>
      <c r="C32" s="37">
        <f>'Comp Table'!H9</f>
        <v>0.8236651721415027</v>
      </c>
      <c r="D32" s="37">
        <f>'Comp Table'!I9</f>
        <v>0.32179139241094634</v>
      </c>
      <c r="E32" s="37">
        <f>'Comp Table'!J9</f>
        <v>0.4693590314797676</v>
      </c>
    </row>
    <row r="33" spans="2:5" x14ac:dyDescent="0.25">
      <c r="B33" t="str">
        <f>'Comp Table'!C10</f>
        <v>MDB</v>
      </c>
      <c r="C33" s="37">
        <f>'Comp Table'!H10</f>
        <v>0.71951219512195119</v>
      </c>
      <c r="D33" s="37">
        <f>'Comp Table'!I10</f>
        <v>-5.0203252032520324E-2</v>
      </c>
      <c r="E33" s="37">
        <f>'Comp Table'!J10</f>
        <v>0.1402439024390244</v>
      </c>
    </row>
    <row r="35" spans="2:5" x14ac:dyDescent="0.25">
      <c r="B35" s="132" t="s">
        <v>234</v>
      </c>
      <c r="C35" s="129" t="s">
        <v>236</v>
      </c>
    </row>
    <row r="45" spans="2:5" ht="15.75" x14ac:dyDescent="0.25">
      <c r="B45" s="131" t="s">
        <v>221</v>
      </c>
      <c r="C45" s="92"/>
      <c r="D45" s="92"/>
      <c r="E45" s="92"/>
    </row>
    <row r="46" spans="2:5" x14ac:dyDescent="0.25">
      <c r="B46" s="32" t="s">
        <v>222</v>
      </c>
    </row>
    <row r="47" spans="2:5" x14ac:dyDescent="0.25">
      <c r="B47" s="94" t="s">
        <v>86</v>
      </c>
      <c r="C47" s="95" t="s">
        <v>223</v>
      </c>
      <c r="D47" s="95" t="s">
        <v>224</v>
      </c>
      <c r="E47" s="95" t="s">
        <v>225</v>
      </c>
    </row>
    <row r="48" spans="2:5" x14ac:dyDescent="0.25">
      <c r="B48" t="str">
        <f>'Comp Table'!C5</f>
        <v>NVDA</v>
      </c>
      <c r="C48" s="37">
        <f>'Comp Table'!F5</f>
        <v>0.65473535790094783</v>
      </c>
      <c r="D48" s="100">
        <f>'Comp Table'!M5</f>
        <v>24.318152432642705</v>
      </c>
      <c r="E48" s="36">
        <f>'Comp Table'!K5</f>
        <v>5253350.2</v>
      </c>
    </row>
    <row r="49" spans="2:5" x14ac:dyDescent="0.25">
      <c r="B49" t="str">
        <f>'Comp Table'!C6</f>
        <v>TSM</v>
      </c>
      <c r="C49" s="37">
        <f>'Comp Table'!F6</f>
        <v>0.35901420959147434</v>
      </c>
      <c r="D49" s="100">
        <f>'Comp Table'!M6</f>
        <v>16.677604639764745</v>
      </c>
      <c r="E49" s="36">
        <f>'Comp Table'!K6</f>
        <v>2100672.36</v>
      </c>
    </row>
    <row r="50" spans="2:5" x14ac:dyDescent="0.25">
      <c r="B50" t="str">
        <f>'Comp Table'!C7</f>
        <v>VRT</v>
      </c>
      <c r="C50" s="37">
        <f>'Comp Table'!F7</f>
        <v>0.27685414014328869</v>
      </c>
      <c r="D50" s="100">
        <f>'Comp Table'!M7</f>
        <v>12.622139219347208</v>
      </c>
      <c r="E50" s="36">
        <f>'Comp Table'!K7</f>
        <v>127938.62199999999</v>
      </c>
    </row>
    <row r="51" spans="2:5" x14ac:dyDescent="0.25">
      <c r="B51" t="str">
        <f>'Comp Table'!C8</f>
        <v>NET</v>
      </c>
      <c r="C51" s="37">
        <f>'Comp Table'!F8</f>
        <v>0.29845666035387564</v>
      </c>
      <c r="D51" s="100">
        <f>'Comp Table'!M8</f>
        <v>35.2172372029261</v>
      </c>
      <c r="E51" s="36">
        <f>'Comp Table'!K8</f>
        <v>75318.167569999991</v>
      </c>
    </row>
    <row r="52" spans="2:5" x14ac:dyDescent="0.25">
      <c r="B52" t="str">
        <f>'Comp Table'!C9</f>
        <v>PLTR</v>
      </c>
      <c r="C52" s="37">
        <f>'Comp Table'!F9</f>
        <v>0.56183390932215471</v>
      </c>
      <c r="D52" s="100">
        <f>'Comp Table'!M9</f>
        <v>78.572552009341649</v>
      </c>
      <c r="E52" s="36">
        <f>'Comp Table'!K9</f>
        <v>353071.00959999999</v>
      </c>
    </row>
    <row r="53" spans="2:5" x14ac:dyDescent="0.25">
      <c r="B53" t="str">
        <f>'Comp Table'!C10</f>
        <v>MDB</v>
      </c>
      <c r="C53" s="37">
        <f>'Comp Table'!F10</f>
        <v>0.22605027902611741</v>
      </c>
      <c r="D53" s="100">
        <f>'Comp Table'!M10</f>
        <v>11.268392276422764</v>
      </c>
      <c r="E53" s="36">
        <f>'Comp Table'!K10</f>
        <v>28210.244999999999</v>
      </c>
    </row>
    <row r="55" spans="2:5" x14ac:dyDescent="0.25">
      <c r="B55" s="132" t="s">
        <v>234</v>
      </c>
      <c r="C55" s="129" t="s">
        <v>237</v>
      </c>
    </row>
    <row r="65" spans="2:4" ht="15.75" x14ac:dyDescent="0.25">
      <c r="B65" s="131" t="s">
        <v>226</v>
      </c>
      <c r="C65" s="92"/>
      <c r="D65" s="92"/>
    </row>
    <row r="66" spans="2:4" x14ac:dyDescent="0.25">
      <c r="B66" s="32" t="s">
        <v>227</v>
      </c>
    </row>
    <row r="67" spans="2:4" x14ac:dyDescent="0.25">
      <c r="B67" s="94" t="s">
        <v>86</v>
      </c>
      <c r="C67" s="95" t="s">
        <v>228</v>
      </c>
    </row>
    <row r="68" spans="2:4" x14ac:dyDescent="0.25">
      <c r="B68" t="str">
        <f>'Comp Table'!C5</f>
        <v>NVDA</v>
      </c>
      <c r="C68" s="75">
        <f>'Scoring Matrix'!G28</f>
        <v>2.125</v>
      </c>
    </row>
    <row r="69" spans="2:4" x14ac:dyDescent="0.25">
      <c r="B69" t="str">
        <f>'Comp Table'!C6</f>
        <v>TSM</v>
      </c>
      <c r="C69" s="75">
        <f>'Scoring Matrix'!G29</f>
        <v>3</v>
      </c>
    </row>
    <row r="70" spans="2:4" x14ac:dyDescent="0.25">
      <c r="B70" t="str">
        <f>'Comp Table'!C7</f>
        <v>VRT</v>
      </c>
      <c r="C70" s="75">
        <f>'Scoring Matrix'!G30</f>
        <v>4</v>
      </c>
    </row>
    <row r="71" spans="2:4" x14ac:dyDescent="0.25">
      <c r="B71" t="str">
        <f>'Comp Table'!C8</f>
        <v>NET</v>
      </c>
      <c r="C71" s="75">
        <f>'Scoring Matrix'!G31</f>
        <v>4.625</v>
      </c>
    </row>
    <row r="72" spans="2:4" x14ac:dyDescent="0.25">
      <c r="B72" t="str">
        <f>'Comp Table'!C9</f>
        <v>PLTR</v>
      </c>
      <c r="C72" s="75">
        <f>'Scoring Matrix'!G32</f>
        <v>3.25</v>
      </c>
    </row>
    <row r="73" spans="2:4" x14ac:dyDescent="0.25">
      <c r="B73" t="str">
        <f>'Comp Table'!C10</f>
        <v>MDB</v>
      </c>
      <c r="C73" s="75">
        <f>'Scoring Matrix'!G33</f>
        <v>4</v>
      </c>
    </row>
    <row r="75" spans="2:4" x14ac:dyDescent="0.25">
      <c r="B75" s="132" t="s">
        <v>234</v>
      </c>
      <c r="C75" s="129" t="s">
        <v>238</v>
      </c>
    </row>
    <row r="85" spans="2:4" ht="15.75" x14ac:dyDescent="0.25">
      <c r="B85" s="131" t="s">
        <v>229</v>
      </c>
      <c r="C85" s="92"/>
      <c r="D85" s="92"/>
    </row>
    <row r="86" spans="2:4" x14ac:dyDescent="0.25">
      <c r="B86" s="32" t="s">
        <v>230</v>
      </c>
    </row>
    <row r="87" spans="2:4" x14ac:dyDescent="0.25">
      <c r="B87" s="94" t="s">
        <v>88</v>
      </c>
      <c r="C87" s="95" t="s">
        <v>159</v>
      </c>
    </row>
    <row r="88" spans="2:4" x14ac:dyDescent="0.25">
      <c r="B88" t="str">
        <f>'Comp Table'!D5&amp;" ("&amp;'Comp Table'!C5&amp;")"</f>
        <v>Chips / Compute (NVDA)</v>
      </c>
      <c r="C88" s="36">
        <f>'Comp Table'!L5</f>
        <v>5251213.2</v>
      </c>
    </row>
    <row r="89" spans="2:4" x14ac:dyDescent="0.25">
      <c r="B89" t="str">
        <f>'Comp Table'!D6&amp;" ("&amp;'Comp Table'!C6&amp;")"</f>
        <v>Foundry / Mfg (TSM)</v>
      </c>
      <c r="C89" s="36">
        <f>'Comp Table'!L6</f>
        <v>2041672.3599999999</v>
      </c>
    </row>
    <row r="90" spans="2:4" x14ac:dyDescent="0.25">
      <c r="B90" t="str">
        <f>'Comp Table'!D7&amp;" ("&amp;'Comp Table'!C7&amp;")"</f>
        <v>Power / Cooling (VRT)</v>
      </c>
      <c r="C90" s="36">
        <f>'Comp Table'!L7</f>
        <v>129123.22199999999</v>
      </c>
    </row>
    <row r="91" spans="2:4" x14ac:dyDescent="0.25">
      <c r="B91" t="str">
        <f>'Comp Table'!D8&amp;" ("&amp;'Comp Table'!C8&amp;")"</f>
        <v>Edge / Networking (NET)</v>
      </c>
      <c r="C91" s="36">
        <f>'Comp Table'!L8</f>
        <v>76348.751569999993</v>
      </c>
    </row>
    <row r="92" spans="2:4" x14ac:dyDescent="0.25">
      <c r="B92" t="str">
        <f>'Comp Table'!D9&amp;" ("&amp;'Comp Table'!C9&amp;")"</f>
        <v>Data / Enterprise (PLTR)</v>
      </c>
      <c r="C92" s="36">
        <f>'Comp Table'!L9</f>
        <v>351647.21360000002</v>
      </c>
    </row>
    <row r="93" spans="2:4" x14ac:dyDescent="0.25">
      <c r="B93" t="str">
        <f>'Comp Table'!D10&amp;" ("&amp;'Comp Table'!C10&amp;")"</f>
        <v>Data Infra (MDB)</v>
      </c>
      <c r="C93" s="36">
        <f>'Comp Table'!L10</f>
        <v>27720.244999999999</v>
      </c>
    </row>
    <row r="95" spans="2:4" x14ac:dyDescent="0.25">
      <c r="B95" s="132" t="s">
        <v>234</v>
      </c>
      <c r="C95" s="129" t="s">
        <v>239</v>
      </c>
    </row>
    <row r="105" spans="2:5" ht="15.75" x14ac:dyDescent="0.25">
      <c r="B105" s="131" t="s">
        <v>231</v>
      </c>
      <c r="C105" s="92"/>
      <c r="D105" s="92"/>
      <c r="E105" s="92"/>
    </row>
    <row r="106" spans="2:5" x14ac:dyDescent="0.25">
      <c r="B106" s="32" t="s">
        <v>232</v>
      </c>
    </row>
    <row r="107" spans="2:5" x14ac:dyDescent="0.25">
      <c r="B107" s="94" t="s">
        <v>86</v>
      </c>
      <c r="C107" s="95" t="s">
        <v>233</v>
      </c>
      <c r="D107" s="95" t="s">
        <v>201</v>
      </c>
    </row>
    <row r="108" spans="2:5" x14ac:dyDescent="0.25">
      <c r="B108" t="str">
        <f>Scenarios!B62</f>
        <v>NVIDIA</v>
      </c>
      <c r="C108" s="100">
        <f>IFERROR(IF(ISNUMBER('Comp Table'!N5),MIN('Comp Table'!N5,999),NA()),NA())</f>
        <v>39.414645350146365</v>
      </c>
      <c r="D108" s="100">
        <f>IFERROR(IF(ISNUMBER(Scenarios!H62),MIN(Scenarios!H62,999),NA()),NA())</f>
        <v>66.686357900354338</v>
      </c>
    </row>
    <row r="109" spans="2:5" x14ac:dyDescent="0.25">
      <c r="B109" t="str">
        <f>Scenarios!B63</f>
        <v>Taiwan Semi</v>
      </c>
      <c r="C109" s="100">
        <f>IFERROR(IF(ISNUMBER('Comp Table'!N6),MIN('Comp Table'!N6,999),NA()),NA())</f>
        <v>27.335649961841767</v>
      </c>
      <c r="D109" s="100">
        <f>IFERROR(IF(ISNUMBER(Scenarios!H63),MIN(Scenarios!H63,999),NA()),NA())</f>
        <v>36.667060754157013</v>
      </c>
    </row>
    <row r="110" spans="2:5" x14ac:dyDescent="0.25">
      <c r="B110" t="str">
        <f>Scenarios!B64</f>
        <v>Vertiv</v>
      </c>
      <c r="C110" s="100">
        <f>IFERROR(IF(ISNUMBER('Comp Table'!N7),MIN('Comp Table'!N7,999),NA()),NA())</f>
        <v>60.385924332413595</v>
      </c>
      <c r="D110" s="100">
        <f>IFERROR(IF(ISNUMBER(Scenarios!H64),MIN(Scenarios!H64,999),NA()),NA())</f>
        <v>153.59254215477475</v>
      </c>
    </row>
    <row r="111" spans="2:5" x14ac:dyDescent="0.25">
      <c r="B111" t="str">
        <f>Scenarios!B66</f>
        <v>Palantir</v>
      </c>
      <c r="C111" s="100">
        <f>IFERROR(IF(ISNUMBER('Comp Table'!N9),MIN('Comp Table'!N9,999),NA()),NA())</f>
        <v>244.17232363070769</v>
      </c>
      <c r="D111" s="100">
        <f>IFERROR(IF(ISNUMBER(Scenarios!H66),MIN(Scenarios!H66,999),NA()),NA())</f>
        <v>341.06159907484044</v>
      </c>
    </row>
    <row r="113" spans="2:6" x14ac:dyDescent="0.25">
      <c r="B113" s="132" t="s">
        <v>234</v>
      </c>
      <c r="C113" s="129" t="s">
        <v>240</v>
      </c>
    </row>
    <row r="125" spans="2:6" ht="15.75" x14ac:dyDescent="0.25">
      <c r="B125" s="131" t="s">
        <v>387</v>
      </c>
      <c r="C125" s="92"/>
      <c r="D125" s="92"/>
      <c r="E125" s="92"/>
      <c r="F125" s="92"/>
    </row>
    <row r="126" spans="2:6" x14ac:dyDescent="0.25">
      <c r="B126" s="32" t="s">
        <v>388</v>
      </c>
    </row>
    <row r="127" spans="2:6" x14ac:dyDescent="0.25">
      <c r="B127" s="94" t="s">
        <v>86</v>
      </c>
      <c r="C127" s="95" t="s">
        <v>365</v>
      </c>
      <c r="D127" s="95" t="s">
        <v>366</v>
      </c>
      <c r="E127" s="95" t="s">
        <v>367</v>
      </c>
      <c r="F127" s="95" t="s">
        <v>389</v>
      </c>
    </row>
    <row r="128" spans="2:6" x14ac:dyDescent="0.25">
      <c r="B128" t="s">
        <v>5</v>
      </c>
      <c r="C128" s="37">
        <f>'Comp Table'!R5</f>
        <v>8.2958997490020281E-2</v>
      </c>
      <c r="D128" s="37">
        <v>0</v>
      </c>
      <c r="E128" s="37">
        <f>'Comp Table'!T5</f>
        <v>2.390500977132325E-2</v>
      </c>
      <c r="F128" s="37">
        <f>'Data Input'!U37/'Data Input'!H10</f>
        <v>0</v>
      </c>
    </row>
    <row r="129" spans="2:6" x14ac:dyDescent="0.25">
      <c r="B129" t="s">
        <v>8</v>
      </c>
      <c r="C129" s="37">
        <f>'Comp Table'!R6</f>
        <v>6.2898219245221362E-2</v>
      </c>
      <c r="D129" s="37">
        <f>'Comp Table'!S6</f>
        <v>2.2055219735337365E-3</v>
      </c>
      <c r="E129" s="37">
        <f>'Comp Table'!T6</f>
        <v>2.3688939715732722E-2</v>
      </c>
      <c r="F129" s="37">
        <f>'Data Input'!V37/'Data Input'!H39</f>
        <v>0</v>
      </c>
    </row>
    <row r="130" spans="2:6" x14ac:dyDescent="0.25">
      <c r="B130" t="s">
        <v>11</v>
      </c>
      <c r="C130" s="37">
        <f>'Comp Table'!R7</f>
        <v>4.5943753115866237E-2</v>
      </c>
      <c r="D130" s="37">
        <f>'Comp Table'!S7</f>
        <v>0.10557287950028837</v>
      </c>
      <c r="E130" s="37">
        <f>'Comp Table'!T7</f>
        <v>8.5044819597454524E-2</v>
      </c>
      <c r="F130" s="37">
        <f>'Data Input'!W37/'Data Input'!H68</f>
        <v>1.7595479916714729E-2</v>
      </c>
    </row>
    <row r="131" spans="2:6" x14ac:dyDescent="0.25">
      <c r="B131" t="s">
        <v>14</v>
      </c>
      <c r="C131" s="37">
        <f>'Comp Table'!R8</f>
        <v>0.2942889945602663</v>
      </c>
      <c r="D131" s="37">
        <f>'Comp Table'!S8</f>
        <v>0.31827493142097768</v>
      </c>
      <c r="E131" s="37">
        <f>'Comp Table'!T8</f>
        <v>0.12454236446907821</v>
      </c>
      <c r="F131" s="37">
        <f>'Data Input'!X37/'Data Input'!H97</f>
        <v>4.6126801655214156E-2</v>
      </c>
    </row>
    <row r="132" spans="2:6" x14ac:dyDescent="0.25">
      <c r="B132" t="s">
        <v>17</v>
      </c>
      <c r="C132" s="37">
        <f>'Comp Table'!R9</f>
        <v>0.1367461477582346</v>
      </c>
      <c r="D132" s="37">
        <f>'Comp Table'!S9</f>
        <v>0.17093268469779324</v>
      </c>
      <c r="E132" s="37">
        <f>'Comp Table'!T9</f>
        <v>0.19998006902552282</v>
      </c>
      <c r="F132" s="37">
        <f>'Data Input'!Y37/'Data Input'!H126</f>
        <v>0</v>
      </c>
    </row>
    <row r="133" spans="2:6" x14ac:dyDescent="0.25">
      <c r="B133" t="s">
        <v>20</v>
      </c>
      <c r="C133" s="37">
        <f>'Comp Table'!R10</f>
        <v>0.3048780487804878</v>
      </c>
      <c r="D133" s="37">
        <f>'Comp Table'!S10</f>
        <v>0.33739837398373984</v>
      </c>
      <c r="E133" s="37">
        <f>'Comp Table'!T10</f>
        <v>0.11788617886178862</v>
      </c>
      <c r="F133" s="37">
        <f>'Data Input'!Z37/'Data Input'!H155</f>
        <v>1.4227642276422764E-2</v>
      </c>
    </row>
    <row r="135" spans="2:6" x14ac:dyDescent="0.25">
      <c r="B135" s="132" t="s">
        <v>234</v>
      </c>
      <c r="C135" s="129" t="s">
        <v>390</v>
      </c>
    </row>
  </sheetData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E9BB2-F45E-47B8-B097-DDF92C9F9A3A}">
  <dimension ref="B2:M85"/>
  <sheetViews>
    <sheetView workbookViewId="0" tabSelected="1" topLeftCell="A1">
      <pane ySplit="3" topLeftCell="A4" activePane="bottomLeft" state="frozen"/>
      <selection pane="bottomLeft" activeCell="B2" sqref="B2"/>
    </sheetView>
  </sheetViews>
  <sheetFormatPr defaultRowHeight="15" x14ac:dyDescent="0.25"/>
  <cols>
    <col min="1" max="1" width="2.28515625" customWidth="1"/>
    <col min="2" max="2" width="24.7109375" customWidth="1"/>
    <col min="3" max="8" width="20" customWidth="1"/>
    <col min="9" max="13" width="17.140625" customWidth="1"/>
  </cols>
  <sheetData>
    <row r="2" spans="2:13" ht="26.25" x14ac:dyDescent="0.4">
      <c r="B2" s="133" t="s">
        <v>241</v>
      </c>
      <c r="J2" s="206" t="str">
        <f>"Data refreshed: "&amp;TEXT('Data Input'!K5,"mmm d, yyyy")</f>
        <v>Data refreshed: May 23, 2026</v>
      </c>
      <c r="K2" s="92"/>
      <c r="L2" s="92"/>
      <c r="M2" s="92"/>
    </row>
    <row r="3" spans="2:13" x14ac:dyDescent="0.25">
      <c r="B3" s="76" t="s">
        <v>242</v>
      </c>
      <c r="J3" s="207" t="str">
        <f>"Pricing: "&amp;'Data Input'!M5&amp;" • Revenue basis: "&amp;'Data Input'!K15</f>
        <v>Pricing: May 22, 2026 close • Revenue basis: FY</v>
      </c>
    </row>
    <row r="4" spans="2:13" ht="15.75" thickBot="1" x14ac:dyDescent="0.3"/>
    <row r="5" spans="2:13" x14ac:dyDescent="0.25">
      <c r="B5" s="160" t="s">
        <v>243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63"/>
    </row>
    <row r="6" spans="2:13" ht="50.1" customHeight="1" x14ac:dyDescent="0.5">
      <c r="B6" s="242" t="str">
        <f>'Scoring Matrix'!C57</f>
        <v>TSM</v>
      </c>
      <c r="C6" s="243" t="str">
        <f>'Scoring Matrix'!C59&amp;" — "&amp;'Scoring Matrix'!C58</f>
        <v>Taiwan Semi — Foundry / Mfg</v>
      </c>
      <c r="D6" s="150"/>
      <c r="E6" s="150"/>
      <c r="F6" s="150"/>
      <c r="G6" s="150"/>
      <c r="H6" s="150"/>
      <c r="I6" s="150"/>
      <c r="J6" s="150"/>
      <c r="K6" s="150"/>
      <c r="L6" s="150"/>
      <c r="M6" s="164"/>
    </row>
    <row r="7" spans="2:13" ht="60" customHeight="1" x14ac:dyDescent="0.25">
      <c r="B7" s="161"/>
      <c r="C7" s="151" t="s">
        <v>244</v>
      </c>
      <c r="D7" s="150"/>
      <c r="E7" s="150"/>
      <c r="F7" s="150"/>
      <c r="G7" s="150"/>
      <c r="H7" s="150"/>
      <c r="I7" s="150"/>
      <c r="J7" s="150"/>
      <c r="K7" s="150"/>
      <c r="L7" s="150"/>
      <c r="M7" s="164"/>
    </row>
    <row r="8" spans="2:13" x14ac:dyDescent="0.25">
      <c r="B8" s="161"/>
      <c r="C8" s="152" t="s">
        <v>245</v>
      </c>
      <c r="D8" s="152" t="s">
        <v>246</v>
      </c>
      <c r="E8" s="152" t="s">
        <v>92</v>
      </c>
      <c r="F8" s="152" t="s">
        <v>96</v>
      </c>
      <c r="G8" s="152" t="s">
        <v>97</v>
      </c>
      <c r="H8" s="152" t="s">
        <v>228</v>
      </c>
      <c r="I8" s="150"/>
      <c r="J8" s="150"/>
      <c r="K8" s="150"/>
      <c r="L8" s="150"/>
      <c r="M8" s="164"/>
    </row>
    <row r="9" spans="2:13" ht="30" customHeight="1" thickBot="1" x14ac:dyDescent="0.35">
      <c r="B9" s="162"/>
      <c r="C9" s="156">
        <f>'Comp Table'!E6</f>
        <v>122420</v>
      </c>
      <c r="D9" s="157">
        <f>'Comp Table'!F6</f>
        <v>0.35901420959147434</v>
      </c>
      <c r="E9" s="157">
        <f>'Comp Table'!I6</f>
        <v>0.61010455807874531</v>
      </c>
      <c r="F9" s="158">
        <f>'Comp Table'!M6</f>
        <v>16.677604639764745</v>
      </c>
      <c r="G9" s="158">
        <f>'Comp Table'!N6</f>
        <v>27.335649961841767</v>
      </c>
      <c r="H9" s="159">
        <f>'Scoring Matrix'!G29</f>
        <v>3</v>
      </c>
      <c r="I9" s="155"/>
      <c r="J9" s="155"/>
      <c r="K9" s="155"/>
      <c r="L9" s="155"/>
      <c r="M9" s="165"/>
    </row>
    <row r="11" spans="2:13" ht="17.25" x14ac:dyDescent="0.3">
      <c r="B11" s="91" t="s">
        <v>247</v>
      </c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</row>
    <row r="13" spans="2:13" ht="36" customHeight="1" x14ac:dyDescent="0.4">
      <c r="B13" s="172" t="str">
        <f>'Comp Table'!C5</f>
        <v>NVDA</v>
      </c>
      <c r="C13" s="172" t="str">
        <f>'Comp Table'!C6</f>
        <v>TSM</v>
      </c>
      <c r="D13" s="172" t="str">
        <f>'Comp Table'!C7</f>
        <v>VRT</v>
      </c>
      <c r="E13" s="172" t="str">
        <f>'Comp Table'!C8</f>
        <v>NET</v>
      </c>
      <c r="F13" s="172" t="str">
        <f>'Comp Table'!C9</f>
        <v>PLTR</v>
      </c>
      <c r="G13" s="166" t="str">
        <f>'Comp Table'!C10</f>
        <v>MDB</v>
      </c>
    </row>
    <row r="14" spans="2:13" x14ac:dyDescent="0.25">
      <c r="B14" s="173" t="str">
        <f>'Comp Table'!D5</f>
        <v>Chips / Compute</v>
      </c>
      <c r="C14" s="173" t="str">
        <f>'Comp Table'!D6</f>
        <v>Foundry / Mfg</v>
      </c>
      <c r="D14" s="173" t="str">
        <f>'Comp Table'!D7</f>
        <v>Power / Cooling</v>
      </c>
      <c r="E14" s="173" t="str">
        <f>'Comp Table'!D8</f>
        <v>Edge / Networking</v>
      </c>
      <c r="F14" s="173" t="str">
        <f>'Comp Table'!D9</f>
        <v>Data / Enterprise</v>
      </c>
      <c r="G14" s="167" t="str">
        <f>'Comp Table'!D10</f>
        <v>Data Infra</v>
      </c>
    </row>
    <row r="15" spans="2:13" x14ac:dyDescent="0.25">
      <c r="B15" s="174" t="s">
        <v>246</v>
      </c>
      <c r="C15" s="174" t="s">
        <v>246</v>
      </c>
      <c r="D15" s="174" t="s">
        <v>246</v>
      </c>
      <c r="E15" s="174" t="s">
        <v>246</v>
      </c>
      <c r="F15" s="174" t="s">
        <v>246</v>
      </c>
      <c r="G15" s="168" t="s">
        <v>246</v>
      </c>
    </row>
    <row r="16" spans="2:13" ht="26.1" customHeight="1" x14ac:dyDescent="0.3">
      <c r="B16" s="175">
        <f>'Comp Table'!F5</f>
        <v>0.65473535790094783</v>
      </c>
      <c r="C16" s="175">
        <f>'Comp Table'!F6</f>
        <v>0.35901420959147434</v>
      </c>
      <c r="D16" s="175">
        <f>'Comp Table'!F7</f>
        <v>0.27685414014328869</v>
      </c>
      <c r="E16" s="175">
        <f>'Comp Table'!F8</f>
        <v>0.29845666035387564</v>
      </c>
      <c r="F16" s="175">
        <f>'Comp Table'!F9</f>
        <v>0.56183390932215471</v>
      </c>
      <c r="G16" s="169">
        <f>'Comp Table'!F10</f>
        <v>0.22605027902611741</v>
      </c>
    </row>
    <row r="17" spans="2:8" x14ac:dyDescent="0.25">
      <c r="B17" s="174" t="s">
        <v>96</v>
      </c>
      <c r="C17" s="174" t="s">
        <v>96</v>
      </c>
      <c r="D17" s="174" t="s">
        <v>96</v>
      </c>
      <c r="E17" s="174" t="s">
        <v>96</v>
      </c>
      <c r="F17" s="174" t="s">
        <v>96</v>
      </c>
      <c r="G17" s="168" t="s">
        <v>96</v>
      </c>
    </row>
    <row r="18" spans="2:8" ht="26.1" customHeight="1" x14ac:dyDescent="0.3">
      <c r="B18" s="176">
        <f>'Comp Table'!M5</f>
        <v>24.318152432642705</v>
      </c>
      <c r="C18" s="176">
        <f>'Comp Table'!M6</f>
        <v>16.677604639764745</v>
      </c>
      <c r="D18" s="176">
        <f>'Comp Table'!M7</f>
        <v>12.622139219347208</v>
      </c>
      <c r="E18" s="176">
        <f>'Comp Table'!M8</f>
        <v>35.2172372029261</v>
      </c>
      <c r="F18" s="176">
        <f>'Comp Table'!M9</f>
        <v>78.572552009341649</v>
      </c>
      <c r="G18" s="170">
        <f>'Comp Table'!M10</f>
        <v>11.268392276422764</v>
      </c>
    </row>
    <row r="19" spans="2:8" x14ac:dyDescent="0.25">
      <c r="B19" s="174" t="s">
        <v>248</v>
      </c>
      <c r="C19" s="174" t="s">
        <v>248</v>
      </c>
      <c r="D19" s="174" t="s">
        <v>248</v>
      </c>
      <c r="E19" s="174" t="s">
        <v>248</v>
      </c>
      <c r="F19" s="174" t="s">
        <v>248</v>
      </c>
      <c r="G19" s="168" t="s">
        <v>248</v>
      </c>
    </row>
    <row r="20" spans="2:8" ht="24" customHeight="1" x14ac:dyDescent="0.25">
      <c r="B20" s="177">
        <f>'Scoring Matrix'!G28</f>
        <v>2.125</v>
      </c>
      <c r="C20" s="177">
        <f>'Scoring Matrix'!G29</f>
        <v>3</v>
      </c>
      <c r="D20" s="177">
        <f>'Scoring Matrix'!G30</f>
        <v>4</v>
      </c>
      <c r="E20" s="177">
        <f>'Scoring Matrix'!G31</f>
        <v>4.625</v>
      </c>
      <c r="F20" s="177">
        <f>'Scoring Matrix'!G32</f>
        <v>3.25</v>
      </c>
      <c r="G20" s="171">
        <f>'Scoring Matrix'!G33</f>
        <v>4</v>
      </c>
    </row>
    <row r="22" spans="2:8" ht="17.25" x14ac:dyDescent="0.3">
      <c r="B22" s="91" t="s">
        <v>249</v>
      </c>
      <c r="C22" s="92"/>
      <c r="D22" s="92"/>
      <c r="E22" s="92"/>
      <c r="F22" s="92"/>
      <c r="G22" s="92"/>
      <c r="H22" s="92"/>
    </row>
    <row r="23" spans="2:8" x14ac:dyDescent="0.25">
      <c r="B23" s="94" t="s">
        <v>250</v>
      </c>
      <c r="C23" s="95" t="str">
        <f t="shared" ref="C23:H23" si="0">B13</f>
        <v>NVDA</v>
      </c>
      <c r="D23" s="95" t="str">
        <f t="shared" si="0"/>
        <v>TSM</v>
      </c>
      <c r="E23" s="95" t="str">
        <f t="shared" si="0"/>
        <v>VRT</v>
      </c>
      <c r="F23" s="95" t="str">
        <f t="shared" si="0"/>
        <v>NET</v>
      </c>
      <c r="G23" s="95" t="str">
        <f t="shared" si="0"/>
        <v>PLTR</v>
      </c>
      <c r="H23" s="95" t="str">
        <f t="shared" si="0"/>
        <v>MDB</v>
      </c>
    </row>
    <row r="24" spans="2:8" x14ac:dyDescent="0.25">
      <c r="B24" s="4" t="s">
        <v>156</v>
      </c>
      <c r="C24" s="36">
        <f>'Comp Table'!E5</f>
        <v>215938</v>
      </c>
      <c r="D24" s="36">
        <f>'Comp Table'!E6</f>
        <v>122420</v>
      </c>
      <c r="E24" s="36">
        <f>'Comp Table'!E7</f>
        <v>10229.9</v>
      </c>
      <c r="F24" s="36">
        <f>'Comp Table'!E8</f>
        <v>2167.9369999999999</v>
      </c>
      <c r="G24" s="36">
        <f>'Comp Table'!E9</f>
        <v>4475.4459999999999</v>
      </c>
      <c r="H24" s="36">
        <f>'Comp Table'!E10</f>
        <v>2460</v>
      </c>
    </row>
    <row r="25" spans="2:8" x14ac:dyDescent="0.25">
      <c r="B25" t="s">
        <v>251</v>
      </c>
      <c r="C25" s="37">
        <f>'Comp Table'!F5</f>
        <v>0.65473535790094783</v>
      </c>
      <c r="D25" s="37">
        <f>'Comp Table'!F6</f>
        <v>0.35901420959147434</v>
      </c>
      <c r="E25" s="37">
        <f>'Comp Table'!F7</f>
        <v>0.27685414014328869</v>
      </c>
      <c r="F25" s="37">
        <f>'Comp Table'!F8</f>
        <v>0.29845666035387564</v>
      </c>
      <c r="G25" s="37">
        <f>'Comp Table'!F9</f>
        <v>0.56183390932215471</v>
      </c>
      <c r="H25" s="37">
        <f>'Comp Table'!F10</f>
        <v>0.22605027902611741</v>
      </c>
    </row>
    <row r="26" spans="2:8" x14ac:dyDescent="0.25">
      <c r="B26" t="s">
        <v>252</v>
      </c>
      <c r="C26" s="37">
        <f>'Comp Table'!G5</f>
        <v>1.0004509499443963</v>
      </c>
      <c r="D26" s="37">
        <f>'Comp Table'!G6</f>
        <v>0.17284787229042031</v>
      </c>
      <c r="E26" s="37">
        <f>'Comp Table'!G7</f>
        <v>0.21585434016498239</v>
      </c>
      <c r="F26" s="37">
        <f>'Comp Table'!G8</f>
        <v>0.30510334305337783</v>
      </c>
      <c r="G26" s="37">
        <f>'Comp Table'!G9</f>
        <v>0.32917125287657845</v>
      </c>
      <c r="H26" s="37">
        <f>'Comp Table'!G10</f>
        <v>0.24199215140447738</v>
      </c>
    </row>
    <row r="27" spans="2:8" x14ac:dyDescent="0.25">
      <c r="B27" t="s">
        <v>91</v>
      </c>
      <c r="C27" s="37">
        <f>'Comp Table'!H5</f>
        <v>0.71068084357547079</v>
      </c>
      <c r="D27" s="37">
        <f>'Comp Table'!H6</f>
        <v>0.5989952622120569</v>
      </c>
      <c r="E27" s="37">
        <f>'Comp Table'!H7</f>
        <v>0.36317070548099201</v>
      </c>
      <c r="F27" s="37">
        <f>'Comp Table'!H8</f>
        <v>0.74513788915452794</v>
      </c>
      <c r="G27" s="37">
        <f>'Comp Table'!H9</f>
        <v>0.8236651721415027</v>
      </c>
      <c r="H27" s="37">
        <f>'Comp Table'!H10</f>
        <v>0.71951219512195119</v>
      </c>
    </row>
    <row r="28" spans="2:8" x14ac:dyDescent="0.25">
      <c r="B28" t="s">
        <v>92</v>
      </c>
      <c r="C28" s="37">
        <f>'Comp Table'!I5</f>
        <v>0.61698265242801176</v>
      </c>
      <c r="D28" s="37">
        <f>'Comp Table'!I6</f>
        <v>0.61010455807874531</v>
      </c>
      <c r="E28" s="37">
        <f>'Comp Table'!I7</f>
        <v>0.20902452614395059</v>
      </c>
      <c r="F28" s="37">
        <f>'Comp Table'!I8</f>
        <v>-8.055123373050057E-3</v>
      </c>
      <c r="G28" s="37">
        <f>'Comp Table'!I9</f>
        <v>0.32179139241094634</v>
      </c>
      <c r="H28" s="37">
        <f>'Comp Table'!I10</f>
        <v>-5.0203252032520324E-2</v>
      </c>
    </row>
    <row r="29" spans="2:8" x14ac:dyDescent="0.25">
      <c r="B29" t="s">
        <v>93</v>
      </c>
      <c r="C29" s="37">
        <f>'Comp Table'!J5</f>
        <v>0.44770258129648327</v>
      </c>
      <c r="D29" s="37">
        <f>'Comp Table'!J6</f>
        <v>0.37412187551053749</v>
      </c>
      <c r="E29" s="37">
        <f>'Comp Table'!J7</f>
        <v>0.18512399925707976</v>
      </c>
      <c r="F29" s="37">
        <f>'Comp Table'!J8</f>
        <v>0.13261317095469105</v>
      </c>
      <c r="G29" s="37">
        <f>'Comp Table'!J9</f>
        <v>0.4693590314797676</v>
      </c>
      <c r="H29" s="37">
        <f>'Comp Table'!J10</f>
        <v>0.1402439024390244</v>
      </c>
    </row>
    <row r="30" spans="2:8" x14ac:dyDescent="0.25">
      <c r="B30" s="4" t="s">
        <v>253</v>
      </c>
      <c r="C30" s="36">
        <f>'Comp Table'!K5</f>
        <v>5253350.2</v>
      </c>
      <c r="D30" s="36">
        <f>'Comp Table'!K6</f>
        <v>2100672.36</v>
      </c>
      <c r="E30" s="36">
        <f>'Comp Table'!K7</f>
        <v>127938.62199999999</v>
      </c>
      <c r="F30" s="36">
        <f>'Comp Table'!K8</f>
        <v>75318.167569999991</v>
      </c>
      <c r="G30" s="36">
        <f>'Comp Table'!K9</f>
        <v>353071.00959999999</v>
      </c>
      <c r="H30" s="36">
        <f>'Comp Table'!K10</f>
        <v>28210.244999999999</v>
      </c>
    </row>
    <row r="31" spans="2:8" x14ac:dyDescent="0.25">
      <c r="B31" t="s">
        <v>254</v>
      </c>
      <c r="C31" s="36">
        <f>'Comp Table'!L5</f>
        <v>5251213.2</v>
      </c>
      <c r="D31" s="36">
        <f>'Comp Table'!L6</f>
        <v>2041672.3599999999</v>
      </c>
      <c r="E31" s="36">
        <f>'Comp Table'!L7</f>
        <v>129123.22199999999</v>
      </c>
      <c r="F31" s="36">
        <f>'Comp Table'!L8</f>
        <v>76348.751569999993</v>
      </c>
      <c r="G31" s="36">
        <f>'Comp Table'!L9</f>
        <v>351647.21360000002</v>
      </c>
      <c r="H31" s="36">
        <f>'Comp Table'!L10</f>
        <v>27720.244999999999</v>
      </c>
    </row>
    <row r="32" spans="2:8" x14ac:dyDescent="0.25">
      <c r="B32" t="s">
        <v>255</v>
      </c>
      <c r="C32" s="100">
        <f>'Comp Table'!M5</f>
        <v>24.318152432642705</v>
      </c>
      <c r="D32" s="100">
        <f>'Comp Table'!M6</f>
        <v>16.677604639764745</v>
      </c>
      <c r="E32" s="100">
        <f>'Comp Table'!M7</f>
        <v>12.622139219347208</v>
      </c>
      <c r="F32" s="100">
        <f>'Comp Table'!M8</f>
        <v>35.2172372029261</v>
      </c>
      <c r="G32" s="100">
        <f>'Comp Table'!M9</f>
        <v>78.572552009341649</v>
      </c>
      <c r="H32" s="100">
        <f>'Comp Table'!M10</f>
        <v>11.268392276422764</v>
      </c>
    </row>
    <row r="33" spans="2:10" x14ac:dyDescent="0.25">
      <c r="B33" t="s">
        <v>256</v>
      </c>
      <c r="C33" s="100">
        <f>'Comp Table'!N5</f>
        <v>39.414645350146365</v>
      </c>
      <c r="D33" s="100">
        <f>'Comp Table'!N6</f>
        <v>27.335649961841767</v>
      </c>
      <c r="E33" s="100">
        <f>'Comp Table'!N7</f>
        <v>60.385924332413595</v>
      </c>
      <c r="F33" s="134" t="str">
        <f>IF('Comp Table'!I8&lt;=0,"n/m",'Comp Table'!N8)</f>
        <v>n/m</v>
      </c>
      <c r="G33" s="100">
        <f>'Comp Table'!N9</f>
        <v>244.17232363070769</v>
      </c>
      <c r="H33" s="134" t="str">
        <f>IF('Comp Table'!I10&lt;=0,"n/m",'Comp Table'!N10)</f>
        <v>n/m</v>
      </c>
    </row>
    <row r="34" spans="2:10" x14ac:dyDescent="0.25">
      <c r="B34" s="4" t="s">
        <v>228</v>
      </c>
      <c r="C34" s="85">
        <f>'Scoring Matrix'!G28</f>
        <v>2.125</v>
      </c>
      <c r="D34" s="85">
        <f>'Scoring Matrix'!G29</f>
        <v>3</v>
      </c>
      <c r="E34" s="85">
        <f>'Scoring Matrix'!G30</f>
        <v>4</v>
      </c>
      <c r="F34" s="85">
        <f>'Scoring Matrix'!G31</f>
        <v>4.625</v>
      </c>
      <c r="G34" s="85">
        <f>'Scoring Matrix'!G32</f>
        <v>3.25</v>
      </c>
      <c r="H34" s="85">
        <f>'Scoring Matrix'!G33</f>
        <v>4</v>
      </c>
    </row>
    <row r="36" spans="2:10" ht="17.25" x14ac:dyDescent="0.3">
      <c r="B36" s="91" t="s">
        <v>257</v>
      </c>
      <c r="C36" s="92"/>
      <c r="D36" s="92"/>
      <c r="E36" s="92"/>
      <c r="F36" s="92"/>
      <c r="G36" s="92"/>
      <c r="H36" s="92"/>
      <c r="I36" s="92"/>
      <c r="J36" s="92"/>
    </row>
    <row r="37" spans="2:10" x14ac:dyDescent="0.25">
      <c r="B37" s="72" t="s">
        <v>258</v>
      </c>
    </row>
    <row r="38" spans="2:10" x14ac:dyDescent="0.25">
      <c r="B38" s="94" t="s">
        <v>87</v>
      </c>
      <c r="C38" s="95" t="s">
        <v>259</v>
      </c>
      <c r="D38" s="135" t="s">
        <v>260</v>
      </c>
      <c r="E38" s="97" t="s">
        <v>261</v>
      </c>
      <c r="F38" s="98" t="s">
        <v>262</v>
      </c>
      <c r="G38" s="95" t="s">
        <v>263</v>
      </c>
      <c r="H38" s="95" t="s">
        <v>264</v>
      </c>
    </row>
    <row r="39" spans="2:10" x14ac:dyDescent="0.25">
      <c r="B39" s="4" t="str">
        <f>B13</f>
        <v>NVDA</v>
      </c>
      <c r="C39" s="115">
        <f>IF('Comp Table'!I5&lt;=0,"n/m",'Comp Table'!N5)</f>
        <v>39.414645350146365</v>
      </c>
      <c r="D39" s="136">
        <f>IFERROR(IF(OR(ISNA(Scenarios!I28),Scenarios!I28&gt;500),"n/m",Scenarios!I28),"n/m")</f>
        <v>45.033615616005008</v>
      </c>
      <c r="E39" s="137">
        <f>IFERROR(IF(OR(ISNA(Scenarios!J28),Scenarios!J28&gt;500),"n/m",Scenarios!J28),"n/m")</f>
        <v>27.951899347865183</v>
      </c>
      <c r="F39" s="138">
        <f>IFERROR(IF(OR(ISNA(Scenarios!K28),Scenarios!K28&gt;500),"n/m",Scenarios!K28),"n/m")</f>
        <v>23.394086034288318</v>
      </c>
      <c r="G39" s="139">
        <f t="shared" ref="G39:G44" si="1">IFERROR(IF(AND(ISNUMBER(C39),ISNUMBER(E39)),E39-C39,NA()),NA())</f>
        <v>-11.462746002281182</v>
      </c>
      <c r="H39" s="140">
        <f t="shared" ref="H39:H44" si="2">IFERROR(IF(AND(ISNUMBER(C39),ISNUMBER(F39)),F39/C39-1,NA()),NA())</f>
        <v>-0.40646209482634743</v>
      </c>
    </row>
    <row r="40" spans="2:10" x14ac:dyDescent="0.25">
      <c r="B40" s="4" t="str">
        <f>C13</f>
        <v>TSM</v>
      </c>
      <c r="C40" s="115">
        <f>IF('Comp Table'!I6&lt;=0,"n/m",'Comp Table'!N6)</f>
        <v>27.335649961841767</v>
      </c>
      <c r="D40" s="136">
        <f>IFERROR(IF(OR(ISNA(Scenarios!I29),Scenarios!I29&gt;500),"n/m",Scenarios!I29),"n/m")</f>
        <v>27.07403350611159</v>
      </c>
      <c r="E40" s="137">
        <f>IFERROR(IF(OR(ISNA(Scenarios!J29),Scenarios!J29&gt;500),"n/m",Scenarios!J29),"n/m")</f>
        <v>22.23680618635299</v>
      </c>
      <c r="F40" s="138">
        <f>IFERROR(IF(OR(ISNA(Scenarios!K29),Scenarios!K29&gt;500),"n/m",Scenarios!K29),"n/m")</f>
        <v>19.609176531175475</v>
      </c>
      <c r="G40" s="139">
        <f t="shared" si="1"/>
        <v>-5.0988437754887777</v>
      </c>
      <c r="H40" s="140">
        <f t="shared" si="2"/>
        <v>-0.28265190114198091</v>
      </c>
    </row>
    <row r="41" spans="2:10" x14ac:dyDescent="0.25">
      <c r="B41" s="4" t="str">
        <f>D13</f>
        <v>VRT</v>
      </c>
      <c r="C41" s="115">
        <f>IF('Comp Table'!I7&lt;=0,"n/m",'Comp Table'!N7)</f>
        <v>60.385924332413595</v>
      </c>
      <c r="D41" s="136">
        <f>IFERROR(IF(OR(ISNA(Scenarios!I30),Scenarios!I30&gt;500),"n/m",Scenarios!I30),"n/m")</f>
        <v>63.748177875490939</v>
      </c>
      <c r="E41" s="137">
        <f>IFERROR(IF(OR(ISNA(Scenarios!J30),Scenarios!J30&gt;500),"n/m",Scenarios!J30),"n/m")</f>
        <v>47.027344334378569</v>
      </c>
      <c r="F41" s="138">
        <f>IFERROR(IF(OR(ISNA(Scenarios!K30),Scenarios!K30&gt;500),"n/m",Scenarios!K30),"n/m")</f>
        <v>37.398931020288025</v>
      </c>
      <c r="G41" s="139">
        <f t="shared" si="1"/>
        <v>-13.358579998035026</v>
      </c>
      <c r="H41" s="140">
        <f t="shared" si="2"/>
        <v>-0.38066807068459085</v>
      </c>
    </row>
    <row r="42" spans="2:10" x14ac:dyDescent="0.25">
      <c r="B42" s="4" t="str">
        <f>E13</f>
        <v>NET</v>
      </c>
      <c r="C42" s="115" t="str">
        <f>IF('Comp Table'!I8&lt;=0,"n/m",'Comp Table'!N8)</f>
        <v>n/m</v>
      </c>
      <c r="D42" s="136" t="str">
        <f>IFERROR(IF(OR(ISNA(Scenarios!I31),Scenarios!I31&gt;500),"n/m",Scenarios!I31),"n/m")</f>
        <v>n/m</v>
      </c>
      <c r="E42" s="137" t="str">
        <f>IFERROR(IF(OR(ISNA(Scenarios!J31),Scenarios!J31&gt;500),"n/m",Scenarios!J31),"n/m")</f>
        <v>n/m</v>
      </c>
      <c r="F42" s="138">
        <f>IFERROR(IF(OR(ISNA(Scenarios!K31),Scenarios!K31&gt;500),"n/m",Scenarios!K31),"n/m")</f>
        <v>314.43961788326874</v>
      </c>
      <c r="G42" s="139" t="e">
        <f t="shared" si="1"/>
        <v>#N/A</v>
      </c>
      <c r="H42" s="140" t="e">
        <f t="shared" si="2"/>
        <v>#N/A</v>
      </c>
    </row>
    <row r="43" spans="2:10" x14ac:dyDescent="0.25">
      <c r="B43" s="4" t="str">
        <f>F13</f>
        <v>PLTR</v>
      </c>
      <c r="C43" s="115">
        <f>IF('Comp Table'!I9&lt;=0,"n/m",'Comp Table'!N9)</f>
        <v>244.17232363070769</v>
      </c>
      <c r="D43" s="136">
        <f>IFERROR(IF(OR(ISNA(Scenarios!I32),Scenarios!I32&gt;500),"n/m",Scenarios!I32),"n/m")</f>
        <v>224.49300574097609</v>
      </c>
      <c r="E43" s="137">
        <f>IFERROR(IF(OR(ISNA(Scenarios!J32),Scenarios!J32&gt;500),"n/m",Scenarios!J32),"n/m")</f>
        <v>165.06838657424714</v>
      </c>
      <c r="F43" s="138">
        <f>IFERROR(IF(OR(ISNA(Scenarios!K32),Scenarios!K32&gt;500),"n/m",Scenarios!K32),"n/m")</f>
        <v>126.72992259571231</v>
      </c>
      <c r="G43" s="139">
        <f t="shared" si="1"/>
        <v>-79.103937056460552</v>
      </c>
      <c r="H43" s="140">
        <f t="shared" si="2"/>
        <v>-0.48098162514363507</v>
      </c>
    </row>
    <row r="44" spans="2:10" x14ac:dyDescent="0.25">
      <c r="B44" s="4" t="str">
        <f>G13</f>
        <v>MDB</v>
      </c>
      <c r="C44" s="115" t="str">
        <f>IF('Comp Table'!I10&lt;=0,"n/m",'Comp Table'!N10)</f>
        <v>n/m</v>
      </c>
      <c r="D44" s="136" t="str">
        <f>IFERROR(IF(OR(ISNA(Scenarios!I33),Scenarios!I33&gt;500),"n/m",Scenarios!I33),"n/m")</f>
        <v>n/m</v>
      </c>
      <c r="E44" s="137" t="str">
        <f>IFERROR(IF(OR(ISNA(Scenarios!J33),Scenarios!J33&gt;500),"n/m",Scenarios!J33),"n/m")</f>
        <v>n/m</v>
      </c>
      <c r="F44" s="138">
        <f>IFERROR(IF(OR(ISNA(Scenarios!K33),Scenarios!K33&gt;500),"n/m",Scenarios!K33),"n/m")</f>
        <v>86.679940587867407</v>
      </c>
      <c r="G44" s="139" t="e">
        <f t="shared" si="1"/>
        <v>#N/A</v>
      </c>
      <c r="H44" s="140" t="e">
        <f t="shared" si="2"/>
        <v>#N/A</v>
      </c>
    </row>
    <row r="46" spans="2:10" ht="17.25" x14ac:dyDescent="0.3">
      <c r="B46" s="91" t="s">
        <v>265</v>
      </c>
      <c r="C46" s="92"/>
      <c r="D46" s="92"/>
      <c r="E46" s="92"/>
      <c r="F46" s="92"/>
      <c r="G46" s="92"/>
      <c r="H46" s="92"/>
    </row>
    <row r="47" spans="2:10" x14ac:dyDescent="0.25">
      <c r="B47" s="72" t="s">
        <v>266</v>
      </c>
    </row>
    <row r="48" spans="2:10" x14ac:dyDescent="0.25">
      <c r="B48" s="94" t="s">
        <v>87</v>
      </c>
      <c r="C48" s="95" t="s">
        <v>267</v>
      </c>
      <c r="D48" s="95" t="s">
        <v>233</v>
      </c>
      <c r="E48" s="95" t="s">
        <v>201</v>
      </c>
      <c r="F48" s="95" t="s">
        <v>268</v>
      </c>
      <c r="G48" s="95" t="s">
        <v>203</v>
      </c>
      <c r="H48" s="95" t="s">
        <v>269</v>
      </c>
    </row>
    <row r="49" spans="2:8" x14ac:dyDescent="0.25">
      <c r="B49" s="4" t="str">
        <f>B13</f>
        <v>NVDA</v>
      </c>
      <c r="C49" s="141">
        <f>Scenarios!C62</f>
        <v>0.85</v>
      </c>
      <c r="D49" s="115">
        <f>IF('Comp Table'!I5&lt;=0,"n/m",'Comp Table'!N5)</f>
        <v>39.414645350146365</v>
      </c>
      <c r="E49" s="115">
        <f>IFERROR(IF(OR(ISNA(Scenarios!H62),Scenarios!H62&gt;999),"n/m",Scenarios!H62),"n/m")</f>
        <v>66.686357900354338</v>
      </c>
      <c r="F49" s="139">
        <f t="shared" ref="F49:F54" si="3">IFERROR(IF(AND(ISNUMBER(D49),ISNUMBER(E49)),E49-D49,NA()),NA())</f>
        <v>27.271712550207972</v>
      </c>
      <c r="G49" s="128">
        <f>Scenarios!J62</f>
        <v>1</v>
      </c>
      <c r="H49" s="143" t="str">
        <f>IF(NOT(ISNUMBER(F49)),"LOW",IF(F49&gt;50,"EXTREME",IF(F49&gt;20,"HIGH",IF(F49&gt;5,"MODERATE","LOW"))))</f>
        <v>HIGH</v>
      </c>
    </row>
    <row r="50" spans="2:8" x14ac:dyDescent="0.25">
      <c r="B50" s="4" t="str">
        <f>C13</f>
        <v>TSM</v>
      </c>
      <c r="C50" s="141">
        <f>Scenarios!C63</f>
        <v>0.5</v>
      </c>
      <c r="D50" s="115">
        <f>IF('Comp Table'!I6&lt;=0,"n/m",'Comp Table'!N6)</f>
        <v>27.335649961841767</v>
      </c>
      <c r="E50" s="115">
        <f>IFERROR(IF(OR(ISNA(Scenarios!H63),Scenarios!H63&gt;999),"n/m",Scenarios!H63),"n/m")</f>
        <v>36.667060754157013</v>
      </c>
      <c r="F50" s="139">
        <f t="shared" si="3"/>
        <v>9.3314107923152463</v>
      </c>
      <c r="G50" s="128">
        <f>Scenarios!J63</f>
        <v>3</v>
      </c>
      <c r="H50" s="143" t="str">
        <f t="shared" ref="H50:H54" si="4">IF(NOT(ISNUMBER(F50)),"LOW",IF(F50&gt;50,"EXTREME",IF(F50&gt;20,"HIGH",IF(F50&gt;5,"MODERATE","LOW"))))</f>
        <v>MODERATE</v>
      </c>
    </row>
    <row r="51" spans="2:8" x14ac:dyDescent="0.25">
      <c r="B51" s="4" t="str">
        <f>D13</f>
        <v>VRT</v>
      </c>
      <c r="C51" s="141">
        <f>Scenarios!C64</f>
        <v>0.7</v>
      </c>
      <c r="D51" s="115">
        <f>IF('Comp Table'!I7&lt;=0,"n/m",'Comp Table'!N7)</f>
        <v>60.385924332413595</v>
      </c>
      <c r="E51" s="115">
        <f>IFERROR(IF(OR(ISNA(Scenarios!H64),Scenarios!H64&gt;999),"n/m",Scenarios!H64),"n/m")</f>
        <v>153.59254215477475</v>
      </c>
      <c r="F51" s="139">
        <f t="shared" si="3"/>
        <v>93.206617822361153</v>
      </c>
      <c r="G51" s="128">
        <f>Scenarios!J64</f>
        <v>2</v>
      </c>
      <c r="H51" s="143" t="str">
        <f t="shared" si="4"/>
        <v>EXTREME</v>
      </c>
    </row>
    <row r="52" spans="2:8" x14ac:dyDescent="0.25">
      <c r="B52" s="4" t="str">
        <f>E13</f>
        <v>NET</v>
      </c>
      <c r="C52" s="141">
        <f>Scenarios!C65</f>
        <v>0.15</v>
      </c>
      <c r="D52" s="115" t="str">
        <f>IF('Comp Table'!I8&lt;=0,"n/m",'Comp Table'!N8)</f>
        <v>n/m</v>
      </c>
      <c r="E52" s="115" t="str">
        <f>IFERROR(IF(OR(ISNA(Scenarios!H65),Scenarios!H65&gt;999),"n/m",Scenarios!H65),"n/m")</f>
        <v>n/m</v>
      </c>
      <c r="F52" s="139" t="e">
        <f t="shared" si="3"/>
        <v>#N/A</v>
      </c>
      <c r="G52" s="128">
        <f>Scenarios!J65</f>
        <v>6</v>
      </c>
      <c r="H52" s="143" t="str">
        <f t="shared" si="4"/>
        <v>LOW</v>
      </c>
    </row>
    <row r="53" spans="2:8" x14ac:dyDescent="0.25">
      <c r="B53" s="4" t="str">
        <f>F13</f>
        <v>PLTR</v>
      </c>
      <c r="C53" s="141">
        <f>Scenarios!C66</f>
        <v>0.4</v>
      </c>
      <c r="D53" s="115">
        <f>IF('Comp Table'!I9&lt;=0,"n/m",'Comp Table'!N9)</f>
        <v>244.17232363070769</v>
      </c>
      <c r="E53" s="115">
        <f>IFERROR(IF(OR(ISNA(Scenarios!H66),Scenarios!H66&gt;999),"n/m",Scenarios!H66),"n/m")</f>
        <v>341.06159907484044</v>
      </c>
      <c r="F53" s="139">
        <f t="shared" si="3"/>
        <v>96.88927544413275</v>
      </c>
      <c r="G53" s="128">
        <f>Scenarios!J66</f>
        <v>4</v>
      </c>
      <c r="H53" s="143" t="str">
        <f t="shared" si="4"/>
        <v>EXTREME</v>
      </c>
    </row>
    <row r="54" spans="2:8" x14ac:dyDescent="0.25">
      <c r="B54" s="4" t="str">
        <f>G13</f>
        <v>MDB</v>
      </c>
      <c r="C54" s="141">
        <f>Scenarios!C67</f>
        <v>0.2</v>
      </c>
      <c r="D54" s="115" t="str">
        <f>IF('Comp Table'!I10&lt;=0,"n/m",'Comp Table'!N10)</f>
        <v>n/m</v>
      </c>
      <c r="E54" s="115" t="str">
        <f>IFERROR(IF(OR(ISNA(Scenarios!H67),Scenarios!H67&gt;999),"n/m",Scenarios!H67),"n/m")</f>
        <v>n/m</v>
      </c>
      <c r="F54" s="139" t="e">
        <f t="shared" si="3"/>
        <v>#N/A</v>
      </c>
      <c r="G54" s="128">
        <f>Scenarios!J67</f>
        <v>5</v>
      </c>
      <c r="H54" s="143" t="str">
        <f t="shared" si="4"/>
        <v>LOW</v>
      </c>
    </row>
    <row r="56" spans="2:8" ht="17.25" x14ac:dyDescent="0.3">
      <c r="B56" s="91" t="s">
        <v>270</v>
      </c>
      <c r="C56" s="92"/>
      <c r="D56" s="92"/>
      <c r="E56" s="92"/>
      <c r="F56" s="92"/>
      <c r="G56" s="92"/>
      <c r="H56" s="92"/>
    </row>
    <row r="57" spans="2:8" x14ac:dyDescent="0.25">
      <c r="B57" s="94" t="s">
        <v>3</v>
      </c>
      <c r="C57" s="95" t="s">
        <v>271</v>
      </c>
      <c r="D57" s="95" t="s">
        <v>272</v>
      </c>
      <c r="E57" s="94" t="s">
        <v>273</v>
      </c>
    </row>
    <row r="58" spans="2:8" ht="50.1" customHeight="1" x14ac:dyDescent="0.25">
      <c r="B58" t="s">
        <v>6</v>
      </c>
      <c r="C58" s="128" t="str">
        <f>B13</f>
        <v>NVDA</v>
      </c>
      <c r="D58" s="244" t="str">
        <f>IF($C58='Scoring Matrix'!$C$57,"TOP PICK",IF(INDEX('Scoring Matrix'!$H$28:$H$33,MATCH($C58,'Comp Table'!$C$5:$C$10,0))=1,"QUALITY",IF(INDEX('Scoring Matrix'!$H$28:$H$33,MATCH($C58,'Comp Table'!$C$5:$C$10,0))=MAX('Scoring Matrix'!$H$28:$H$33),"AVOID HERE",IF(INDEX(Scenarios!$J$62:$J$67,MATCH($C58,'Comp Table'!$C$5:$C$10,0))&lt;=2,"HIGH BETA",IF(INDEX(Scenarios!$J$62:$J$67,MATCH($C58,'Comp Table'!$C$5:$C$10,0))&lt;=4,"SENTIMENT","OPTIONALITY")))))</f>
        <v>QUALITY</v>
      </c>
      <c r="E58" s="148" t="s">
        <v>274</v>
      </c>
    </row>
    <row r="59" spans="2:8" ht="50.1" customHeight="1" x14ac:dyDescent="0.25">
      <c r="B59" t="s">
        <v>103</v>
      </c>
      <c r="C59" s="128" t="str">
        <f>C13</f>
        <v>TSM</v>
      </c>
      <c r="D59" s="244" t="str">
        <f>IF($C59='Scoring Matrix'!$C$57,"TOP PICK",IF(INDEX('Scoring Matrix'!$H$28:$H$33,MATCH($C59,'Comp Table'!$C$5:$C$10,0))=1,"QUALITY",IF(INDEX('Scoring Matrix'!$H$28:$H$33,MATCH($C59,'Comp Table'!$C$5:$C$10,0))=MAX('Scoring Matrix'!$H$28:$H$33),"AVOID HERE",IF(INDEX(Scenarios!$J$62:$J$67,MATCH($C59,'Comp Table'!$C$5:$C$10,0))&lt;=2,"HIGH BETA",IF(INDEX(Scenarios!$J$62:$J$67,MATCH($C59,'Comp Table'!$C$5:$C$10,0))&lt;=4,"SENTIMENT","OPTIONALITY")))))</f>
        <v>TOP PICK</v>
      </c>
      <c r="E59" s="148" t="s">
        <v>275</v>
      </c>
    </row>
    <row r="60" spans="2:8" ht="50.1" customHeight="1" x14ac:dyDescent="0.25">
      <c r="B60" t="s">
        <v>12</v>
      </c>
      <c r="C60" s="128" t="str">
        <f>D13</f>
        <v>VRT</v>
      </c>
      <c r="D60" s="244" t="str">
        <f>IF($C60='Scoring Matrix'!$C$57,"TOP PICK",IF(INDEX('Scoring Matrix'!$H$28:$H$33,MATCH($C60,'Comp Table'!$C$5:$C$10,0))=1,"QUALITY",IF(INDEX('Scoring Matrix'!$H$28:$H$33,MATCH($C60,'Comp Table'!$C$5:$C$10,0))=MAX('Scoring Matrix'!$H$28:$H$33),"AVOID HERE",IF(INDEX(Scenarios!$J$62:$J$67,MATCH($C60,'Comp Table'!$C$5:$C$10,0))&lt;=2,"HIGH BETA",IF(INDEX(Scenarios!$J$62:$J$67,MATCH($C60,'Comp Table'!$C$5:$C$10,0))&lt;=4,"SENTIMENT","OPTIONALITY")))))</f>
        <v>HIGH BETA</v>
      </c>
      <c r="E60" s="148" t="s">
        <v>276</v>
      </c>
    </row>
    <row r="61" spans="2:8" ht="63" customHeight="1" x14ac:dyDescent="0.25">
      <c r="B61" t="s">
        <v>15</v>
      </c>
      <c r="C61" s="128" t="str">
        <f>E13</f>
        <v>NET</v>
      </c>
      <c r="D61" s="244" t="str">
        <f>IF($C61='Scoring Matrix'!$C$57,"TOP PICK",IF(INDEX('Scoring Matrix'!$H$28:$H$33,MATCH($C61,'Comp Table'!$C$5:$C$10,0))=1,"QUALITY",IF(INDEX('Scoring Matrix'!$H$28:$H$33,MATCH($C61,'Comp Table'!$C$5:$C$10,0))=MAX('Scoring Matrix'!$H$28:$H$33),"AVOID HERE",IF(INDEX(Scenarios!$J$62:$J$67,MATCH($C61,'Comp Table'!$C$5:$C$10,0))&lt;=2,"HIGH BETA",IF(INDEX(Scenarios!$J$62:$J$67,MATCH($C61,'Comp Table'!$C$5:$C$10,0))&lt;=4,"SENTIMENT","OPTIONALITY")))))</f>
        <v>AVOID HERE</v>
      </c>
      <c r="E61" s="148" t="s">
        <v>277</v>
      </c>
    </row>
    <row r="62" spans="2:8" ht="50.1" customHeight="1" x14ac:dyDescent="0.25">
      <c r="B62" t="s">
        <v>107</v>
      </c>
      <c r="C62" s="128" t="str">
        <f>F13</f>
        <v>PLTR</v>
      </c>
      <c r="D62" s="244" t="str">
        <f>IF($C62='Scoring Matrix'!$C$57,"TOP PICK",IF(INDEX('Scoring Matrix'!$H$28:$H$33,MATCH($C62,'Comp Table'!$C$5:$C$10,0))=1,"QUALITY",IF(INDEX('Scoring Matrix'!$H$28:$H$33,MATCH($C62,'Comp Table'!$C$5:$C$10,0))=MAX('Scoring Matrix'!$H$28:$H$33),"AVOID HERE",IF(INDEX(Scenarios!$J$62:$J$67,MATCH($C62,'Comp Table'!$C$5:$C$10,0))&lt;=2,"HIGH BETA",IF(INDEX(Scenarios!$J$62:$J$67,MATCH($C62,'Comp Table'!$C$5:$C$10,0))&lt;=4,"SENTIMENT","OPTIONALITY")))))</f>
        <v>SENTIMENT</v>
      </c>
      <c r="E62" s="148" t="s">
        <v>278</v>
      </c>
    </row>
    <row r="63" spans="2:8" ht="50.1" customHeight="1" x14ac:dyDescent="0.25">
      <c r="B63" t="s">
        <v>109</v>
      </c>
      <c r="C63" s="128" t="str">
        <f>G13</f>
        <v>MDB</v>
      </c>
      <c r="D63" s="244" t="str">
        <f>IF($C63='Scoring Matrix'!$C$57,"TOP PICK",IF(INDEX('Scoring Matrix'!$H$28:$H$33,MATCH($C63,'Comp Table'!$C$5:$C$10,0))=1,"QUALITY",IF(INDEX('Scoring Matrix'!$H$28:$H$33,MATCH($C63,'Comp Table'!$C$5:$C$10,0))=MAX('Scoring Matrix'!$H$28:$H$33),"AVOID HERE",IF(INDEX(Scenarios!$J$62:$J$67,MATCH($C63,'Comp Table'!$C$5:$C$10,0))&lt;=2,"HIGH BETA",IF(INDEX(Scenarios!$J$62:$J$67,MATCH($C63,'Comp Table'!$C$5:$C$10,0))&lt;=4,"SENTIMENT","OPTIONALITY")))))</f>
        <v>OPTIONALITY</v>
      </c>
      <c r="E63" s="148" t="s">
        <v>279</v>
      </c>
    </row>
    <row r="65" spans="2:8" ht="17.25" x14ac:dyDescent="0.3">
      <c r="B65" s="91" t="s">
        <v>280</v>
      </c>
      <c r="C65" s="92"/>
      <c r="D65" s="92"/>
      <c r="E65" s="92"/>
      <c r="F65" s="92"/>
      <c r="G65" s="92"/>
      <c r="H65" s="92"/>
    </row>
    <row r="66" spans="2:8" x14ac:dyDescent="0.25">
      <c r="B66" s="147" t="str">
        <f>HYPERLINK("#'Cover'!A1","▶ Cover")</f>
        <v>▶ Cover</v>
      </c>
      <c r="C66" s="147" t="str">
        <f>HYPERLINK("#'Data Input'!A1","▶ Data Input")</f>
        <v>▶ Data Input</v>
      </c>
      <c r="D66" s="147" t="str">
        <f>HYPERLINK("#'Comp Table'!A1","▶ Comp Table")</f>
        <v>▶ Comp Table</v>
      </c>
      <c r="E66" s="147" t="str">
        <f>HYPERLINK("#'Scoring Matrix'!A1","▶ Scoring Matrix")</f>
        <v>▶ Scoring Matrix</v>
      </c>
      <c r="F66" s="147" t="str">
        <f>HYPERLINK("#Scenarios!A1","▶ Scenarios")</f>
        <v>▶ Scenarios</v>
      </c>
      <c r="G66" s="147" t="str">
        <f>HYPERLINK("#Charts!A1","▶ Charts")</f>
        <v>▶ Charts</v>
      </c>
    </row>
    <row r="68" spans="2:8" x14ac:dyDescent="0.25">
      <c r="B68" s="93" t="s">
        <v>281</v>
      </c>
    </row>
    <row r="69" spans="2:8" ht="60" customHeight="1" x14ac:dyDescent="0.25">
      <c r="B69" s="149" t="s">
        <v>282</v>
      </c>
    </row>
    <row r="71" spans="2:8" ht="17.25" x14ac:dyDescent="0.3">
      <c r="B71" s="230" t="s">
        <v>373</v>
      </c>
      <c r="C71" s="225"/>
      <c r="D71" s="225"/>
      <c r="E71" s="225"/>
      <c r="F71" s="225"/>
      <c r="G71" s="225"/>
      <c r="H71" s="225"/>
    </row>
    <row r="72" spans="2:8" x14ac:dyDescent="0.25">
      <c r="B72" s="72" t="s">
        <v>374</v>
      </c>
    </row>
    <row r="74" spans="2:8" x14ac:dyDescent="0.25">
      <c r="B74" s="94" t="s">
        <v>250</v>
      </c>
      <c r="C74" s="95" t="s">
        <v>5</v>
      </c>
      <c r="D74" s="95" t="s">
        <v>8</v>
      </c>
      <c r="E74" s="95" t="s">
        <v>11</v>
      </c>
      <c r="F74" s="95" t="s">
        <v>14</v>
      </c>
      <c r="G74" s="95" t="s">
        <v>17</v>
      </c>
      <c r="H74" s="95" t="s">
        <v>20</v>
      </c>
    </row>
    <row r="75" spans="2:8" x14ac:dyDescent="0.25">
      <c r="B75" s="4" t="s">
        <v>375</v>
      </c>
      <c r="C75" s="37">
        <f>'Comp Table'!R5</f>
        <v>8.2958997490020281E-2</v>
      </c>
      <c r="D75" s="37">
        <f>'Comp Table'!R6</f>
        <v>6.2898219245221362E-2</v>
      </c>
      <c r="E75" s="37">
        <f>'Comp Table'!R7</f>
        <v>4.5943753115866237E-2</v>
      </c>
      <c r="F75" s="37">
        <f>'Comp Table'!R8</f>
        <v>0.2942889945602663</v>
      </c>
      <c r="G75" s="37">
        <f>'Comp Table'!R9</f>
        <v>0.1367461477582346</v>
      </c>
      <c r="H75" s="37">
        <f>'Comp Table'!R10</f>
        <v>0.3048780487804878</v>
      </c>
    </row>
    <row r="76" spans="2:8" x14ac:dyDescent="0.25">
      <c r="B76" s="4" t="s">
        <v>376</v>
      </c>
      <c r="C76" s="231" t="s">
        <v>377</v>
      </c>
      <c r="D76" s="37">
        <f>'Comp Table'!S6</f>
        <v>2.2055219735337365E-3</v>
      </c>
      <c r="E76" s="37">
        <f>'Comp Table'!S7</f>
        <v>0.10557287950028837</v>
      </c>
      <c r="F76" s="37">
        <f>'Comp Table'!S8</f>
        <v>0.31827493142097768</v>
      </c>
      <c r="G76" s="37">
        <f>'Comp Table'!S9</f>
        <v>0.17093268469779324</v>
      </c>
      <c r="H76" s="37">
        <f>'Comp Table'!S10</f>
        <v>0.33739837398373984</v>
      </c>
    </row>
    <row r="77" spans="2:8" x14ac:dyDescent="0.25">
      <c r="B77" s="4" t="s">
        <v>378</v>
      </c>
      <c r="C77" s="37">
        <f>'Comp Table'!T5</f>
        <v>2.390500977132325E-2</v>
      </c>
      <c r="D77" s="37">
        <f>'Comp Table'!T6</f>
        <v>2.3688939715732722E-2</v>
      </c>
      <c r="E77" s="37">
        <f>'Comp Table'!T7</f>
        <v>8.5044819597454524E-2</v>
      </c>
      <c r="F77" s="37">
        <f>'Comp Table'!T8</f>
        <v>0.12454236446907821</v>
      </c>
      <c r="G77" s="37">
        <f>'Comp Table'!T9</f>
        <v>0.19998006902552282</v>
      </c>
      <c r="H77" s="37">
        <f>'Comp Table'!T10</f>
        <v>0.11788617886178862</v>
      </c>
    </row>
    <row r="78" spans="2:8" x14ac:dyDescent="0.25">
      <c r="B78" s="232" t="s">
        <v>379</v>
      </c>
      <c r="C78" s="37">
        <f>'Comp Table'!U5</f>
        <v>2.8346099343330031E-2</v>
      </c>
      <c r="D78" s="37">
        <f>'Comp Table'!U6</f>
        <v>7.3517399117791209E-4</v>
      </c>
      <c r="E78" s="37">
        <f>'Comp Table'!U7</f>
        <v>9.7752666203970717E-3</v>
      </c>
      <c r="F78" s="37">
        <f>'Comp Table'!U8</f>
        <v>0.15683112562772811</v>
      </c>
      <c r="G78" s="37">
        <f>'Comp Table'!U9</f>
        <v>0.21226934701033148</v>
      </c>
      <c r="H78" s="37">
        <f>'Comp Table'!U10</f>
        <v>0.18292682926829268</v>
      </c>
    </row>
    <row r="79" spans="2:8" x14ac:dyDescent="0.25">
      <c r="B79" s="4" t="s">
        <v>380</v>
      </c>
      <c r="C79" s="37">
        <f>'Data Input'!H14/'Data Input'!H10</f>
        <v>0.60381683631412719</v>
      </c>
      <c r="D79" s="37">
        <f>'Data Input'!H43/'Data Input'!H39</f>
        <v>0.50799705930403527</v>
      </c>
      <c r="E79" s="37">
        <f>'Data Input'!H72/'Data Input'!H68</f>
        <v>0.17885805335340524</v>
      </c>
      <c r="F79" s="37">
        <f>'Data Input'!H101/'Data Input'!H97</f>
        <v>-9.5577039369686492E-2</v>
      </c>
      <c r="G79" s="37">
        <f>'Data Input'!H130/'Data Input'!H126</f>
        <v>0.31594951653980413</v>
      </c>
      <c r="H79" s="37">
        <f>'Data Input'!H159/'Data Input'!H155</f>
        <v>-5.5691056910569109E-2</v>
      </c>
    </row>
    <row r="80" spans="2:8" x14ac:dyDescent="0.25">
      <c r="B80" s="233" t="s">
        <v>381</v>
      </c>
      <c r="C80" s="37">
        <f>'Comp Table'!V5</f>
        <v>0.65938834295029125</v>
      </c>
      <c r="D80" s="37">
        <f>'Comp Table'!V6</f>
        <v>0.50799705930403527</v>
      </c>
      <c r="E80" s="37">
        <f>'Comp Table'!V7</f>
        <v>0.22971876557933119</v>
      </c>
      <c r="F80" s="37">
        <f>'Comp Table'!V8</f>
        <v>0.11393320008837896</v>
      </c>
      <c r="G80" s="37">
        <f>'Comp Table'!V9</f>
        <v>0.40197111081219616</v>
      </c>
      <c r="H80" s="37">
        <f>'Comp Table'!V10</f>
        <v>0.15731707317073171</v>
      </c>
    </row>
    <row r="81" spans="2:8" x14ac:dyDescent="0.25">
      <c r="B81" s="4" t="s">
        <v>382</v>
      </c>
      <c r="C81" s="36">
        <f>'Data Input'!H16</f>
        <v>133230</v>
      </c>
      <c r="D81" s="36">
        <f>'Data Input'!H45</f>
        <v>74689</v>
      </c>
      <c r="E81" s="36">
        <f>'Data Input'!H74</f>
        <v>2138.3000000000002</v>
      </c>
      <c r="F81" s="36">
        <f>'Data Input'!H103</f>
        <v>-17.463000000000022</v>
      </c>
      <c r="G81" s="36">
        <f>'Data Input'!H132</f>
        <v>1440.16</v>
      </c>
      <c r="H81" s="36">
        <f>'Data Input'!H161</f>
        <v>-123.5</v>
      </c>
    </row>
    <row r="82" spans="2:8" x14ac:dyDescent="0.25">
      <c r="B82" s="233" t="s">
        <v>383</v>
      </c>
      <c r="C82" s="36">
        <f>'Comp Table'!W5</f>
        <v>145230</v>
      </c>
      <c r="D82" s="36">
        <f>'Comp Table'!W6</f>
        <v>74689</v>
      </c>
      <c r="E82" s="36">
        <f>'Comp Table'!W7</f>
        <v>2658.6</v>
      </c>
      <c r="F82" s="36">
        <f>'Comp Table'!W8</f>
        <v>436.74199999999996</v>
      </c>
      <c r="G82" s="36">
        <f>'Comp Table'!W9</f>
        <v>1825.145</v>
      </c>
      <c r="H82" s="36">
        <f>'Comp Table'!W10</f>
        <v>400.5</v>
      </c>
    </row>
    <row r="83" spans="2:8" x14ac:dyDescent="0.25">
      <c r="B83" s="4" t="s">
        <v>384</v>
      </c>
      <c r="C83" s="100">
        <f>IF('Data Input'!H16&lt;=0,"n/m",'Comp Table'!N5)</f>
        <v>39.414645350146365</v>
      </c>
      <c r="D83" s="100">
        <f>IF('Data Input'!H45&lt;=0,"n/m",'Comp Table'!N6)</f>
        <v>27.335649961841767</v>
      </c>
      <c r="E83" s="100">
        <f>IF('Data Input'!H74&lt;=0,"n/m",'Comp Table'!N7)</f>
        <v>60.385924332413595</v>
      </c>
      <c r="F83" s="100" t="str">
        <f>IF('Data Input'!H103&lt;=0,"n/m",'Comp Table'!N8)</f>
        <v>n/m</v>
      </c>
      <c r="G83" s="100">
        <f>IF('Data Input'!H132&lt;=0,"n/m",'Comp Table'!N9)</f>
        <v>244.17232363070769</v>
      </c>
      <c r="H83" s="100" t="str">
        <f>IF('Data Input'!H161&lt;=0,"n/m",'Comp Table'!N10)</f>
        <v>n/m</v>
      </c>
    </row>
    <row r="84" spans="2:8" x14ac:dyDescent="0.25">
      <c r="B84" s="233" t="s">
        <v>385</v>
      </c>
      <c r="C84" s="100">
        <f>'Comp Table'!X5</f>
        <v>36.157909522825861</v>
      </c>
      <c r="D84" s="100">
        <f>'Comp Table'!X6</f>
        <v>27.335649961841767</v>
      </c>
      <c r="E84" s="100">
        <f>'Comp Table'!X7</f>
        <v>48.568126833671855</v>
      </c>
      <c r="F84" s="100">
        <f>'Comp Table'!X8</f>
        <v>174.81431043957301</v>
      </c>
      <c r="G84" s="100">
        <f>'Comp Table'!X9</f>
        <v>192.66809683614179</v>
      </c>
      <c r="H84" s="100">
        <f>'Comp Table'!X10</f>
        <v>69.214094881398253</v>
      </c>
    </row>
    <row r="85" spans="2:8" x14ac:dyDescent="0.25">
      <c r="B85" s="93" t="s">
        <v>386</v>
      </c>
      <c r="C85" s="234">
        <f>'Comp Table'!Y5</f>
        <v>1.3141237008512392</v>
      </c>
      <c r="D85" s="234">
        <f>'Comp Table'!Y6</f>
        <v>0.86701126889550961</v>
      </c>
      <c r="E85" s="234">
        <f>'Comp Table'!Y7</f>
        <v>0.50657290572261982</v>
      </c>
      <c r="F85" s="234">
        <f>'Comp Table'!Y8</f>
        <v>0.41238986044225456</v>
      </c>
      <c r="G85" s="234">
        <f>'Comp Table'!Y9</f>
        <v>0.96380502013435088</v>
      </c>
      <c r="H85" s="234">
        <f>'Comp Table'!Y10</f>
        <v>0.38336735219684914</v>
      </c>
    </row>
  </sheetData>
  <conditionalFormatting sqref="B18:G18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G20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9:F54">
    <cfRule type="colorScale" priority="3">
      <colorScale>
        <cfvo type="min"/>
        <cfvo type="num" val="15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Cover</vt:lpstr>
      <vt:lpstr>Data Input</vt:lpstr>
      <vt:lpstr>Comp Table</vt:lpstr>
      <vt:lpstr>Scoring Matrix</vt:lpstr>
      <vt:lpstr>Scenarios</vt:lpstr>
      <vt:lpstr>Charts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 Pakel</dc:creator>
  <cp:lastModifiedBy>Brando Pakel</cp:lastModifiedBy>
  <dcterms:created xsi:type="dcterms:W3CDTF">2026-05-22T05:55:24Z</dcterms:created>
  <dcterms:modified xsi:type="dcterms:W3CDTF">2026-05-23T22:18:22Z</dcterms:modified>
</cp:coreProperties>
</file>