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hidePivotFieldList="1"/>
  <mc:AlternateContent xmlns:mc="http://schemas.openxmlformats.org/markup-compatibility/2006">
    <mc:Choice Requires="x15">
      <x15ac:absPath xmlns:x15ac="http://schemas.microsoft.com/office/spreadsheetml/2010/11/ac" url="/Users/bp/Documents/circle_analysis/circle_analysis_windows/"/>
    </mc:Choice>
  </mc:AlternateContent>
  <xr:revisionPtr revIDLastSave="0" documentId="13_ncr:1_{6909039B-FCCF-3743-9E1F-3ACD0596BD61}" xr6:coauthVersionLast="47" xr6:coauthVersionMax="47" xr10:uidLastSave="{00000000-0000-0000-0000-000000000000}"/>
  <bookViews>
    <workbookView xWindow="20" yWindow="760" windowWidth="29400" windowHeight="16840" activeTab="4" xr2:uid="{00000000-000D-0000-FFFF-FFFF00000000}"/>
  </bookViews>
  <sheets>
    <sheet name="Circle Transparency Inputs" sheetId="3" r:id="rId1"/>
    <sheet name="Data" sheetId="1" r:id="rId2"/>
    <sheet name="Dashboard" sheetId="2" r:id="rId3"/>
    <sheet name="Calculations" sheetId="5" r:id="rId4"/>
    <sheet name="Metrics" sheetId="4" r:id="rId5"/>
    <sheet name="Citations" sheetId="6" r:id="rId6"/>
  </sheets>
  <calcPr calcId="191029"/>
  <pivotCaches>
    <pivotCache cacheId="32" r:id="rId7"/>
    <pivotCache cacheId="65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9" i="4" l="1"/>
  <c r="D102" i="4"/>
  <c r="C102" i="4"/>
  <c r="B102" i="4"/>
  <c r="D98" i="4"/>
  <c r="D99" i="4"/>
  <c r="D100" i="4"/>
  <c r="D97" i="4"/>
  <c r="C100" i="4"/>
  <c r="C99" i="4"/>
  <c r="C98" i="4"/>
  <c r="C97" i="4"/>
  <c r="B100" i="4"/>
  <c r="B99" i="4"/>
  <c r="B98" i="4"/>
  <c r="B97" i="4"/>
  <c r="C40" i="4"/>
  <c r="D40" i="4" s="1"/>
  <c r="B40" i="4"/>
  <c r="E40" i="4" s="1"/>
  <c r="C42" i="4"/>
  <c r="C44" i="4"/>
  <c r="C43" i="4"/>
  <c r="B22" i="4"/>
  <c r="B23" i="4"/>
  <c r="D10" i="4"/>
  <c r="D11" i="4"/>
  <c r="D12" i="4"/>
  <c r="D13" i="4"/>
  <c r="D14" i="4"/>
  <c r="D15" i="4"/>
  <c r="D9" i="4"/>
  <c r="D8" i="4"/>
  <c r="D7" i="4"/>
  <c r="D6" i="4"/>
  <c r="D5" i="4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2" i="1"/>
  <c r="N3" i="1"/>
  <c r="O3" i="1" s="1"/>
  <c r="N4" i="1"/>
  <c r="O4" i="1" s="1"/>
  <c r="N2" i="1"/>
  <c r="O2" i="1" s="1"/>
  <c r="E5" i="5" a="1"/>
  <c r="E5" i="5" s="1"/>
  <c r="E4" i="5" a="1"/>
  <c r="E4" i="5" s="1"/>
  <c r="E3" i="5" a="1"/>
  <c r="E3" i="5" s="1"/>
  <c r="E2" i="5"/>
  <c r="D31" i="4"/>
  <c r="D32" i="4"/>
  <c r="D33" i="4"/>
  <c r="D30" i="4"/>
  <c r="C35" i="4"/>
  <c r="B35" i="4"/>
  <c r="B89" i="4"/>
  <c r="B92" i="4" s="1"/>
  <c r="B81" i="4"/>
  <c r="B72" i="4"/>
  <c r="C60" i="4"/>
  <c r="C69" i="4" s="1"/>
  <c r="C61" i="4"/>
  <c r="D61" i="4" s="1"/>
  <c r="C59" i="4"/>
  <c r="C68" i="4" s="1"/>
  <c r="C58" i="4"/>
  <c r="D58" i="4" s="1"/>
  <c r="B63" i="4"/>
  <c r="D51" i="4"/>
  <c r="D52" i="4"/>
  <c r="D50" i="4"/>
  <c r="D49" i="4"/>
  <c r="C54" i="4"/>
  <c r="C63" i="4" s="1"/>
  <c r="C72" i="4" s="1"/>
  <c r="C81" i="4" s="1"/>
  <c r="C92" i="4" s="1"/>
  <c r="B54" i="4"/>
  <c r="C8" i="4"/>
  <c r="B8" i="4"/>
  <c r="C41" i="4"/>
  <c r="D41" i="4" s="1"/>
  <c r="B41" i="4"/>
  <c r="E41" i="4" s="1"/>
  <c r="D39" i="4"/>
  <c r="B39" i="4"/>
  <c r="E39" i="4" s="1"/>
  <c r="B24" i="4"/>
  <c r="B26" i="4" s="1"/>
  <c r="B21" i="4"/>
  <c r="B20" i="4"/>
  <c r="B44" i="4" s="1"/>
  <c r="F44" i="4" s="1"/>
  <c r="C7" i="4"/>
  <c r="C6" i="4"/>
  <c r="C5" i="4"/>
  <c r="B7" i="4"/>
  <c r="B6" i="4"/>
  <c r="B5" i="4"/>
  <c r="H74" i="1"/>
  <c r="B43" i="5"/>
  <c r="C43" i="5" s="1"/>
  <c r="B42" i="5"/>
  <c r="C42" i="5" s="1"/>
  <c r="B41" i="5"/>
  <c r="C41" i="5" s="1"/>
  <c r="B40" i="5"/>
  <c r="C40" i="5" s="1"/>
  <c r="B39" i="5"/>
  <c r="C39" i="5" s="1"/>
  <c r="B38" i="5"/>
  <c r="C38" i="5" s="1"/>
  <c r="B37" i="5"/>
  <c r="C37" i="5" s="1"/>
  <c r="B36" i="5"/>
  <c r="C36" i="5" s="1"/>
  <c r="B35" i="5"/>
  <c r="C35" i="5" s="1"/>
  <c r="B34" i="5"/>
  <c r="C34" i="5" s="1"/>
  <c r="B33" i="5"/>
  <c r="C33" i="5" s="1"/>
  <c r="B32" i="5"/>
  <c r="C32" i="5" s="1"/>
  <c r="B31" i="5"/>
  <c r="C31" i="5" s="1"/>
  <c r="B30" i="5"/>
  <c r="C30" i="5" s="1"/>
  <c r="B29" i="5"/>
  <c r="C29" i="5" s="1"/>
  <c r="B28" i="5"/>
  <c r="C28" i="5" s="1"/>
  <c r="B27" i="5"/>
  <c r="C27" i="5" s="1"/>
  <c r="B26" i="5"/>
  <c r="C26" i="5" s="1"/>
  <c r="B25" i="5"/>
  <c r="C25" i="5" s="1"/>
  <c r="B24" i="5"/>
  <c r="C24" i="5" s="1"/>
  <c r="B23" i="5"/>
  <c r="C23" i="5" s="1"/>
  <c r="B22" i="5"/>
  <c r="C22" i="5" s="1"/>
  <c r="B21" i="5"/>
  <c r="C21" i="5" s="1"/>
  <c r="B20" i="5"/>
  <c r="C20" i="5" s="1"/>
  <c r="B19" i="5"/>
  <c r="C19" i="5" s="1"/>
  <c r="B18" i="5"/>
  <c r="C18" i="5" s="1"/>
  <c r="B17" i="5"/>
  <c r="C17" i="5" s="1"/>
  <c r="B16" i="5"/>
  <c r="C16" i="5" s="1"/>
  <c r="B14" i="5"/>
  <c r="C14" i="5" s="1"/>
  <c r="B15" i="5"/>
  <c r="C15" i="5" s="1"/>
  <c r="B13" i="5"/>
  <c r="C13" i="5" s="1"/>
  <c r="B12" i="5"/>
  <c r="C12" i="5" s="1"/>
  <c r="B11" i="5"/>
  <c r="C11" i="5" s="1"/>
  <c r="B10" i="5"/>
  <c r="C10" i="5" s="1"/>
  <c r="B9" i="5"/>
  <c r="C9" i="5" s="1"/>
  <c r="C3" i="5"/>
  <c r="B8" i="5"/>
  <c r="C8" i="5" s="1"/>
  <c r="B7" i="5"/>
  <c r="C7" i="5" s="1"/>
  <c r="B6" i="5"/>
  <c r="C6" i="5" s="1"/>
  <c r="B5" i="5"/>
  <c r="C5" i="5" s="1"/>
  <c r="B4" i="5"/>
  <c r="C4" i="5" s="1"/>
  <c r="B3" i="5"/>
  <c r="B2" i="5"/>
  <c r="C2" i="5" s="1"/>
  <c r="A6" i="1"/>
  <c r="N6" i="1" s="1"/>
  <c r="O6" i="1" s="1"/>
  <c r="B6" i="1"/>
  <c r="C6" i="1"/>
  <c r="D6" i="1"/>
  <c r="H6" i="1"/>
  <c r="G41" i="5" s="1" a="1"/>
  <c r="G41" i="5" s="1"/>
  <c r="A7" i="1"/>
  <c r="N7" i="1" s="1"/>
  <c r="O7" i="1" s="1"/>
  <c r="B7" i="1"/>
  <c r="C7" i="1"/>
  <c r="D7" i="1"/>
  <c r="H7" i="1"/>
  <c r="A8" i="1"/>
  <c r="N8" i="1" s="1"/>
  <c r="O8" i="1" s="1"/>
  <c r="B8" i="1"/>
  <c r="C8" i="1"/>
  <c r="D8" i="1"/>
  <c r="H8" i="1"/>
  <c r="G40" i="5" s="1" a="1"/>
  <c r="G40" i="5" s="1"/>
  <c r="A9" i="1"/>
  <c r="N9" i="1" s="1"/>
  <c r="O9" i="1" s="1"/>
  <c r="B9" i="1"/>
  <c r="C9" i="1"/>
  <c r="D9" i="1"/>
  <c r="H9" i="1"/>
  <c r="A10" i="1"/>
  <c r="N10" i="1" s="1"/>
  <c r="O10" i="1" s="1"/>
  <c r="B10" i="1"/>
  <c r="C10" i="1"/>
  <c r="D10" i="1"/>
  <c r="H10" i="1"/>
  <c r="F39" i="5" s="1"/>
  <c r="A11" i="1"/>
  <c r="N11" i="1" s="1"/>
  <c r="O11" i="1" s="1"/>
  <c r="B11" i="1"/>
  <c r="C11" i="1"/>
  <c r="D11" i="1"/>
  <c r="H11" i="1"/>
  <c r="A12" i="1"/>
  <c r="N12" i="1" s="1"/>
  <c r="O12" i="1" s="1"/>
  <c r="B12" i="1"/>
  <c r="C12" i="1"/>
  <c r="D12" i="1"/>
  <c r="H12" i="1"/>
  <c r="G38" i="5" s="1" a="1"/>
  <c r="G38" i="5" s="1"/>
  <c r="A13" i="1"/>
  <c r="N13" i="1" s="1"/>
  <c r="O13" i="1" s="1"/>
  <c r="B13" i="1"/>
  <c r="C13" i="1"/>
  <c r="D13" i="1"/>
  <c r="H13" i="1"/>
  <c r="A14" i="1"/>
  <c r="N14" i="1" s="1"/>
  <c r="O14" i="1" s="1"/>
  <c r="B14" i="1"/>
  <c r="C14" i="1"/>
  <c r="D14" i="1"/>
  <c r="H14" i="1"/>
  <c r="G37" i="5" s="1" a="1"/>
  <c r="G37" i="5" s="1"/>
  <c r="A15" i="1"/>
  <c r="N15" i="1" s="1"/>
  <c r="O15" i="1" s="1"/>
  <c r="B15" i="1"/>
  <c r="C15" i="1"/>
  <c r="D15" i="1"/>
  <c r="H15" i="1"/>
  <c r="A16" i="1"/>
  <c r="N16" i="1" s="1"/>
  <c r="O16" i="1" s="1"/>
  <c r="B16" i="1"/>
  <c r="C16" i="1"/>
  <c r="D16" i="1"/>
  <c r="H16" i="1"/>
  <c r="G36" i="5" s="1" a="1"/>
  <c r="G36" i="5" s="1"/>
  <c r="A17" i="1"/>
  <c r="N17" i="1" s="1"/>
  <c r="O17" i="1" s="1"/>
  <c r="B17" i="1"/>
  <c r="C17" i="1"/>
  <c r="D17" i="1"/>
  <c r="H17" i="1"/>
  <c r="A18" i="1"/>
  <c r="N18" i="1" s="1"/>
  <c r="O18" i="1" s="1"/>
  <c r="B18" i="1"/>
  <c r="C18" i="1"/>
  <c r="D18" i="1"/>
  <c r="H18" i="1"/>
  <c r="G35" i="5" s="1" a="1"/>
  <c r="G35" i="5" s="1"/>
  <c r="A19" i="1"/>
  <c r="N19" i="1" s="1"/>
  <c r="O19" i="1" s="1"/>
  <c r="B19" i="1"/>
  <c r="C19" i="1"/>
  <c r="D19" i="1"/>
  <c r="H19" i="1"/>
  <c r="A20" i="1"/>
  <c r="N20" i="1" s="1"/>
  <c r="O20" i="1" s="1"/>
  <c r="B20" i="1"/>
  <c r="C20" i="1"/>
  <c r="D20" i="1"/>
  <c r="H20" i="1"/>
  <c r="G34" i="5" s="1" a="1"/>
  <c r="G34" i="5" s="1"/>
  <c r="A21" i="1"/>
  <c r="N21" i="1" s="1"/>
  <c r="O21" i="1" s="1"/>
  <c r="B21" i="1"/>
  <c r="C21" i="1"/>
  <c r="D21" i="1"/>
  <c r="H21" i="1"/>
  <c r="A22" i="1"/>
  <c r="N22" i="1" s="1"/>
  <c r="O22" i="1" s="1"/>
  <c r="B22" i="1"/>
  <c r="C22" i="1"/>
  <c r="D22" i="1"/>
  <c r="H22" i="1"/>
  <c r="G33" i="5" s="1" a="1"/>
  <c r="G33" i="5" s="1"/>
  <c r="A23" i="1"/>
  <c r="N23" i="1" s="1"/>
  <c r="O23" i="1" s="1"/>
  <c r="B23" i="1"/>
  <c r="C23" i="1"/>
  <c r="D23" i="1"/>
  <c r="H23" i="1"/>
  <c r="A24" i="1"/>
  <c r="N24" i="1" s="1"/>
  <c r="O24" i="1" s="1"/>
  <c r="B24" i="1"/>
  <c r="C24" i="1"/>
  <c r="D24" i="1"/>
  <c r="H24" i="1"/>
  <c r="A25" i="1"/>
  <c r="N25" i="1" s="1"/>
  <c r="O25" i="1" s="1"/>
  <c r="B25" i="1"/>
  <c r="C25" i="1"/>
  <c r="D25" i="1"/>
  <c r="H25" i="1"/>
  <c r="A26" i="1"/>
  <c r="N26" i="1" s="1"/>
  <c r="O26" i="1" s="1"/>
  <c r="B26" i="1"/>
  <c r="C26" i="1"/>
  <c r="D26" i="1"/>
  <c r="H26" i="1"/>
  <c r="G31" i="5" s="1" a="1"/>
  <c r="G31" i="5" s="1"/>
  <c r="A27" i="1"/>
  <c r="N27" i="1" s="1"/>
  <c r="O27" i="1" s="1"/>
  <c r="B27" i="1"/>
  <c r="C27" i="1"/>
  <c r="D27" i="1"/>
  <c r="H27" i="1"/>
  <c r="A28" i="1"/>
  <c r="N28" i="1" s="1"/>
  <c r="O28" i="1" s="1"/>
  <c r="B28" i="1"/>
  <c r="C28" i="1"/>
  <c r="D28" i="1"/>
  <c r="H28" i="1"/>
  <c r="G30" i="5" s="1" a="1"/>
  <c r="G30" i="5" s="1"/>
  <c r="A29" i="1"/>
  <c r="N29" i="1" s="1"/>
  <c r="O29" i="1" s="1"/>
  <c r="B29" i="1"/>
  <c r="C29" i="1"/>
  <c r="D29" i="1"/>
  <c r="H29" i="1"/>
  <c r="A30" i="1"/>
  <c r="N30" i="1" s="1"/>
  <c r="O30" i="1" s="1"/>
  <c r="B30" i="1"/>
  <c r="C30" i="1"/>
  <c r="D30" i="1"/>
  <c r="H30" i="1"/>
  <c r="G29" i="5" s="1" a="1"/>
  <c r="G29" i="5" s="1"/>
  <c r="A31" i="1"/>
  <c r="N31" i="1" s="1"/>
  <c r="O31" i="1" s="1"/>
  <c r="B31" i="1"/>
  <c r="C31" i="1"/>
  <c r="D31" i="1"/>
  <c r="H31" i="1"/>
  <c r="A32" i="1"/>
  <c r="N32" i="1" s="1"/>
  <c r="O32" i="1" s="1"/>
  <c r="B32" i="1"/>
  <c r="C32" i="1"/>
  <c r="D32" i="1"/>
  <c r="H32" i="1"/>
  <c r="G28" i="5" s="1" a="1"/>
  <c r="G28" i="5" s="1"/>
  <c r="A33" i="1"/>
  <c r="N33" i="1" s="1"/>
  <c r="O33" i="1" s="1"/>
  <c r="B33" i="1"/>
  <c r="C33" i="1"/>
  <c r="D33" i="1"/>
  <c r="H33" i="1"/>
  <c r="A34" i="1"/>
  <c r="N34" i="1" s="1"/>
  <c r="O34" i="1" s="1"/>
  <c r="B34" i="1"/>
  <c r="C34" i="1"/>
  <c r="D34" i="1"/>
  <c r="H34" i="1"/>
  <c r="G27" i="5" s="1" a="1"/>
  <c r="G27" i="5" s="1"/>
  <c r="A35" i="1"/>
  <c r="N35" i="1" s="1"/>
  <c r="O35" i="1" s="1"/>
  <c r="B35" i="1"/>
  <c r="C35" i="1"/>
  <c r="D35" i="1"/>
  <c r="H35" i="1"/>
  <c r="A36" i="1"/>
  <c r="N36" i="1" s="1"/>
  <c r="O36" i="1" s="1"/>
  <c r="B36" i="1"/>
  <c r="C36" i="1"/>
  <c r="D36" i="1"/>
  <c r="H36" i="1"/>
  <c r="G26" i="5" s="1" a="1"/>
  <c r="G26" i="5" s="1"/>
  <c r="A37" i="1"/>
  <c r="N37" i="1" s="1"/>
  <c r="O37" i="1" s="1"/>
  <c r="B37" i="1"/>
  <c r="C37" i="1"/>
  <c r="D37" i="1"/>
  <c r="H37" i="1"/>
  <c r="A38" i="1"/>
  <c r="N38" i="1" s="1"/>
  <c r="O38" i="1" s="1"/>
  <c r="B38" i="1"/>
  <c r="C38" i="1"/>
  <c r="D38" i="1"/>
  <c r="H38" i="1"/>
  <c r="G25" i="5" s="1" a="1"/>
  <c r="G25" i="5" s="1"/>
  <c r="A39" i="1"/>
  <c r="N39" i="1" s="1"/>
  <c r="O39" i="1" s="1"/>
  <c r="B39" i="1"/>
  <c r="C39" i="1"/>
  <c r="D39" i="1"/>
  <c r="H39" i="1"/>
  <c r="A40" i="1"/>
  <c r="N40" i="1" s="1"/>
  <c r="O40" i="1" s="1"/>
  <c r="B40" i="1"/>
  <c r="C40" i="1"/>
  <c r="D40" i="1"/>
  <c r="H40" i="1"/>
  <c r="G24" i="5" s="1" a="1"/>
  <c r="G24" i="5" s="1"/>
  <c r="A41" i="1"/>
  <c r="N41" i="1" s="1"/>
  <c r="O41" i="1" s="1"/>
  <c r="B41" i="1"/>
  <c r="C41" i="1"/>
  <c r="D41" i="1"/>
  <c r="H41" i="1"/>
  <c r="A42" i="1"/>
  <c r="N42" i="1" s="1"/>
  <c r="O42" i="1" s="1"/>
  <c r="B42" i="1"/>
  <c r="C42" i="1"/>
  <c r="D42" i="1"/>
  <c r="H42" i="1"/>
  <c r="G23" i="5" s="1" a="1"/>
  <c r="G23" i="5" s="1"/>
  <c r="A43" i="1"/>
  <c r="N43" i="1" s="1"/>
  <c r="O43" i="1" s="1"/>
  <c r="B43" i="1"/>
  <c r="C43" i="1"/>
  <c r="D43" i="1"/>
  <c r="H43" i="1"/>
  <c r="A44" i="1"/>
  <c r="N44" i="1" s="1"/>
  <c r="O44" i="1" s="1"/>
  <c r="B44" i="1"/>
  <c r="C44" i="1"/>
  <c r="D44" i="1"/>
  <c r="H44" i="1"/>
  <c r="G22" i="5" s="1" a="1"/>
  <c r="G22" i="5" s="1"/>
  <c r="A45" i="1"/>
  <c r="N45" i="1" s="1"/>
  <c r="O45" i="1" s="1"/>
  <c r="B45" i="1"/>
  <c r="C45" i="1"/>
  <c r="D45" i="1"/>
  <c r="H45" i="1"/>
  <c r="A46" i="1"/>
  <c r="N46" i="1" s="1"/>
  <c r="O46" i="1" s="1"/>
  <c r="B46" i="1"/>
  <c r="C46" i="1"/>
  <c r="D46" i="1"/>
  <c r="H46" i="1"/>
  <c r="G21" i="5" s="1" a="1"/>
  <c r="G21" i="5" s="1"/>
  <c r="A47" i="1"/>
  <c r="N47" i="1" s="1"/>
  <c r="O47" i="1" s="1"/>
  <c r="B47" i="1"/>
  <c r="C47" i="1"/>
  <c r="D47" i="1"/>
  <c r="H47" i="1"/>
  <c r="A48" i="1"/>
  <c r="N48" i="1" s="1"/>
  <c r="O48" i="1" s="1"/>
  <c r="B48" i="1"/>
  <c r="C48" i="1"/>
  <c r="D48" i="1"/>
  <c r="H48" i="1"/>
  <c r="G20" i="5" s="1" a="1"/>
  <c r="G20" i="5" s="1"/>
  <c r="A49" i="1"/>
  <c r="N49" i="1" s="1"/>
  <c r="O49" i="1" s="1"/>
  <c r="B49" i="1"/>
  <c r="C49" i="1"/>
  <c r="D49" i="1"/>
  <c r="H49" i="1"/>
  <c r="A50" i="1"/>
  <c r="N50" i="1" s="1"/>
  <c r="O50" i="1" s="1"/>
  <c r="B50" i="1"/>
  <c r="C50" i="1"/>
  <c r="D50" i="1"/>
  <c r="H50" i="1"/>
  <c r="G19" i="5" s="1" a="1"/>
  <c r="G19" i="5" s="1"/>
  <c r="A51" i="1"/>
  <c r="N51" i="1" s="1"/>
  <c r="O51" i="1" s="1"/>
  <c r="B51" i="1"/>
  <c r="C51" i="1"/>
  <c r="D51" i="1"/>
  <c r="H51" i="1"/>
  <c r="A52" i="1"/>
  <c r="N52" i="1" s="1"/>
  <c r="O52" i="1" s="1"/>
  <c r="B52" i="1"/>
  <c r="C52" i="1"/>
  <c r="D52" i="1"/>
  <c r="H52" i="1"/>
  <c r="A53" i="1"/>
  <c r="N53" i="1" s="1"/>
  <c r="O53" i="1" s="1"/>
  <c r="B53" i="1"/>
  <c r="C53" i="1"/>
  <c r="D53" i="1"/>
  <c r="H53" i="1"/>
  <c r="A54" i="1"/>
  <c r="N54" i="1" s="1"/>
  <c r="O54" i="1" s="1"/>
  <c r="B54" i="1"/>
  <c r="C54" i="1"/>
  <c r="D54" i="1"/>
  <c r="H54" i="1"/>
  <c r="G17" i="5" s="1" a="1"/>
  <c r="G17" i="5" s="1"/>
  <c r="A55" i="1"/>
  <c r="N55" i="1" s="1"/>
  <c r="O55" i="1" s="1"/>
  <c r="B55" i="1"/>
  <c r="C55" i="1"/>
  <c r="D55" i="1"/>
  <c r="H55" i="1"/>
  <c r="A56" i="1"/>
  <c r="N56" i="1" s="1"/>
  <c r="O56" i="1" s="1"/>
  <c r="B56" i="1"/>
  <c r="C56" i="1"/>
  <c r="D56" i="1"/>
  <c r="H56" i="1"/>
  <c r="G16" i="5" s="1" a="1"/>
  <c r="G16" i="5" s="1"/>
  <c r="A57" i="1"/>
  <c r="N57" i="1" s="1"/>
  <c r="O57" i="1" s="1"/>
  <c r="B57" i="1"/>
  <c r="C57" i="1"/>
  <c r="D57" i="1"/>
  <c r="H57" i="1"/>
  <c r="A58" i="1"/>
  <c r="N58" i="1" s="1"/>
  <c r="O58" i="1" s="1"/>
  <c r="B58" i="1"/>
  <c r="C58" i="1"/>
  <c r="D58" i="1"/>
  <c r="H58" i="1"/>
  <c r="G15" i="5" s="1" a="1"/>
  <c r="G15" i="5" s="1"/>
  <c r="A59" i="1"/>
  <c r="N59" i="1" s="1"/>
  <c r="O59" i="1" s="1"/>
  <c r="B59" i="1"/>
  <c r="C59" i="1"/>
  <c r="D59" i="1"/>
  <c r="H59" i="1"/>
  <c r="A60" i="1"/>
  <c r="N60" i="1" s="1"/>
  <c r="O60" i="1" s="1"/>
  <c r="B60" i="1"/>
  <c r="C60" i="1"/>
  <c r="D60" i="1"/>
  <c r="H60" i="1"/>
  <c r="G14" i="5" s="1" a="1"/>
  <c r="G14" i="5" s="1"/>
  <c r="A61" i="1"/>
  <c r="N61" i="1" s="1"/>
  <c r="O61" i="1" s="1"/>
  <c r="B61" i="1"/>
  <c r="C61" i="1"/>
  <c r="D61" i="1"/>
  <c r="H61" i="1"/>
  <c r="A62" i="1"/>
  <c r="N62" i="1" s="1"/>
  <c r="O62" i="1" s="1"/>
  <c r="B62" i="1"/>
  <c r="C62" i="1"/>
  <c r="D62" i="1"/>
  <c r="H62" i="1"/>
  <c r="G13" i="5" s="1" a="1"/>
  <c r="G13" i="5" s="1"/>
  <c r="A63" i="1"/>
  <c r="N63" i="1" s="1"/>
  <c r="O63" i="1" s="1"/>
  <c r="B63" i="1"/>
  <c r="C63" i="1"/>
  <c r="D63" i="1"/>
  <c r="H63" i="1"/>
  <c r="A64" i="1"/>
  <c r="N64" i="1" s="1"/>
  <c r="O64" i="1" s="1"/>
  <c r="B64" i="1"/>
  <c r="C64" i="1"/>
  <c r="D64" i="1"/>
  <c r="H64" i="1"/>
  <c r="G11" i="5" s="1" a="1"/>
  <c r="G11" i="5" s="1"/>
  <c r="A65" i="1"/>
  <c r="N65" i="1" s="1"/>
  <c r="O65" i="1" s="1"/>
  <c r="B65" i="1"/>
  <c r="C65" i="1"/>
  <c r="D65" i="1"/>
  <c r="H65" i="1"/>
  <c r="G10" i="5" s="1" a="1"/>
  <c r="G10" i="5" s="1"/>
  <c r="A66" i="1"/>
  <c r="N66" i="1" s="1"/>
  <c r="O66" i="1" s="1"/>
  <c r="B66" i="1"/>
  <c r="C66" i="1"/>
  <c r="D66" i="1"/>
  <c r="H66" i="1"/>
  <c r="G9" i="5" s="1" a="1"/>
  <c r="G9" i="5" s="1"/>
  <c r="A67" i="1"/>
  <c r="N67" i="1" s="1"/>
  <c r="O67" i="1" s="1"/>
  <c r="B67" i="1"/>
  <c r="C67" i="1"/>
  <c r="D67" i="1"/>
  <c r="H67" i="1"/>
  <c r="G8" i="5" s="1" a="1"/>
  <c r="G8" i="5" s="1"/>
  <c r="A68" i="1"/>
  <c r="N68" i="1" s="1"/>
  <c r="O68" i="1" s="1"/>
  <c r="B68" i="1"/>
  <c r="C68" i="1"/>
  <c r="D68" i="1"/>
  <c r="H68" i="1"/>
  <c r="G7" i="5" s="1" a="1"/>
  <c r="G7" i="5" s="1"/>
  <c r="A69" i="1"/>
  <c r="N69" i="1" s="1"/>
  <c r="O69" i="1" s="1"/>
  <c r="B69" i="1"/>
  <c r="C69" i="1"/>
  <c r="D69" i="1"/>
  <c r="H69" i="1"/>
  <c r="G6" i="5" s="1" a="1"/>
  <c r="G6" i="5" s="1"/>
  <c r="A70" i="1"/>
  <c r="N70" i="1" s="1"/>
  <c r="O70" i="1" s="1"/>
  <c r="B70" i="1"/>
  <c r="C70" i="1"/>
  <c r="D70" i="1"/>
  <c r="H70" i="1"/>
  <c r="G5" i="5" s="1" a="1"/>
  <c r="G5" i="5" s="1"/>
  <c r="A71" i="1"/>
  <c r="N71" i="1" s="1"/>
  <c r="O71" i="1" s="1"/>
  <c r="B71" i="1"/>
  <c r="C71" i="1"/>
  <c r="D71" i="1"/>
  <c r="H71" i="1"/>
  <c r="G4" i="5" s="1" a="1"/>
  <c r="G4" i="5" s="1"/>
  <c r="A72" i="1"/>
  <c r="N72" i="1" s="1"/>
  <c r="O72" i="1" s="1"/>
  <c r="B72" i="1"/>
  <c r="C72" i="1"/>
  <c r="D72" i="1"/>
  <c r="H72" i="1"/>
  <c r="G3" i="5" s="1" a="1"/>
  <c r="G3" i="5" s="1"/>
  <c r="A73" i="1"/>
  <c r="N73" i="1" s="1"/>
  <c r="O73" i="1" s="1"/>
  <c r="B73" i="1"/>
  <c r="C73" i="1"/>
  <c r="D73" i="1"/>
  <c r="H73" i="1"/>
  <c r="G2" i="5" s="1" a="1"/>
  <c r="G2" i="5" s="1"/>
  <c r="B5" i="1"/>
  <c r="C5" i="1"/>
  <c r="D5" i="1"/>
  <c r="H5" i="1"/>
  <c r="A5" i="1"/>
  <c r="N5" i="1" s="1"/>
  <c r="O5" i="1" s="1"/>
  <c r="H4" i="1"/>
  <c r="D4" i="1"/>
  <c r="C4" i="1"/>
  <c r="B4" i="1"/>
  <c r="H3" i="1"/>
  <c r="D3" i="1"/>
  <c r="C3" i="1"/>
  <c r="B3" i="1"/>
  <c r="H2" i="1"/>
  <c r="G43" i="5" s="1" a="1"/>
  <c r="G43" i="5" s="1"/>
  <c r="D2" i="1"/>
  <c r="C2" i="1"/>
  <c r="B2" i="1"/>
  <c r="O67" i="3"/>
  <c r="N67" i="3"/>
  <c r="H67" i="3"/>
  <c r="I67" i="3"/>
  <c r="H66" i="3"/>
  <c r="I66" i="3"/>
  <c r="N66" i="3"/>
  <c r="O66" i="3"/>
  <c r="O65" i="3"/>
  <c r="N65" i="3"/>
  <c r="H65" i="3"/>
  <c r="I65" i="3"/>
  <c r="O64" i="3"/>
  <c r="N64" i="3"/>
  <c r="H64" i="3"/>
  <c r="I64" i="3"/>
  <c r="M63" i="3"/>
  <c r="N63" i="3"/>
  <c r="O63" i="3"/>
  <c r="H63" i="3"/>
  <c r="I63" i="3"/>
  <c r="M62" i="3"/>
  <c r="N62" i="3"/>
  <c r="O62" i="3"/>
  <c r="H62" i="3"/>
  <c r="I62" i="3"/>
  <c r="M61" i="3"/>
  <c r="H61" i="3"/>
  <c r="O61" i="3" s="1"/>
  <c r="I61" i="3"/>
  <c r="M60" i="3"/>
  <c r="N60" i="3"/>
  <c r="H60" i="3"/>
  <c r="O60" i="3" s="1"/>
  <c r="I60" i="3"/>
  <c r="M59" i="3"/>
  <c r="I59" i="3"/>
  <c r="H59" i="3"/>
  <c r="M58" i="3"/>
  <c r="O58" i="3" s="1"/>
  <c r="N58" i="3"/>
  <c r="I58" i="3"/>
  <c r="H58" i="3"/>
  <c r="M57" i="3"/>
  <c r="I57" i="3"/>
  <c r="N57" i="3" s="1"/>
  <c r="H57" i="3"/>
  <c r="O57" i="3" s="1"/>
  <c r="N56" i="3"/>
  <c r="M56" i="3"/>
  <c r="I56" i="3"/>
  <c r="H56" i="3"/>
  <c r="O56" i="3" s="1"/>
  <c r="M55" i="3"/>
  <c r="N55" i="3" s="1"/>
  <c r="H55" i="3"/>
  <c r="M54" i="3"/>
  <c r="O54" i="3" s="1"/>
  <c r="H54" i="3"/>
  <c r="M53" i="3"/>
  <c r="I53" i="3"/>
  <c r="N53" i="3" s="1"/>
  <c r="H53" i="3"/>
  <c r="O53" i="3" s="1"/>
  <c r="M52" i="3"/>
  <c r="N52" i="3" s="1"/>
  <c r="H52" i="3"/>
  <c r="M51" i="3"/>
  <c r="H51" i="3"/>
  <c r="M50" i="3"/>
  <c r="H50" i="3"/>
  <c r="O50" i="3" s="1"/>
  <c r="I50" i="3"/>
  <c r="N50" i="3" s="1"/>
  <c r="M49" i="3"/>
  <c r="H49" i="3"/>
  <c r="O49" i="3" s="1"/>
  <c r="I49" i="3"/>
  <c r="M48" i="3"/>
  <c r="H48" i="3"/>
  <c r="O48" i="3" s="1"/>
  <c r="I48" i="3"/>
  <c r="M47" i="3"/>
  <c r="H47" i="3"/>
  <c r="O47" i="3" s="1"/>
  <c r="I47" i="3"/>
  <c r="N47" i="3" s="1"/>
  <c r="M46" i="3"/>
  <c r="N46" i="3"/>
  <c r="O46" i="3"/>
  <c r="H46" i="3"/>
  <c r="I46" i="3"/>
  <c r="M45" i="3"/>
  <c r="H45" i="3"/>
  <c r="I45" i="3"/>
  <c r="M44" i="3"/>
  <c r="N44" i="3"/>
  <c r="H44" i="3"/>
  <c r="I44" i="3"/>
  <c r="M43" i="3"/>
  <c r="H43" i="3"/>
  <c r="I43" i="3"/>
  <c r="M42" i="3"/>
  <c r="N42" i="3"/>
  <c r="H42" i="3"/>
  <c r="O42" i="3" s="1"/>
  <c r="I42" i="3"/>
  <c r="M41" i="3"/>
  <c r="H41" i="3"/>
  <c r="O41" i="3" s="1"/>
  <c r="I41" i="3"/>
  <c r="N41" i="3" s="1"/>
  <c r="M40" i="3"/>
  <c r="N40" i="3" s="1"/>
  <c r="O40" i="3"/>
  <c r="H40" i="3"/>
  <c r="I40" i="3"/>
  <c r="M39" i="3"/>
  <c r="H39" i="3"/>
  <c r="O39" i="3" s="1"/>
  <c r="I39" i="3"/>
  <c r="M38" i="3"/>
  <c r="N38" i="3" s="1"/>
  <c r="O38" i="3"/>
  <c r="H38" i="3"/>
  <c r="I38" i="3"/>
  <c r="M37" i="3"/>
  <c r="H37" i="3"/>
  <c r="O37" i="3" s="1"/>
  <c r="I37" i="3"/>
  <c r="M36" i="3"/>
  <c r="N36" i="3" s="1"/>
  <c r="H36" i="3"/>
  <c r="O36" i="3" s="1"/>
  <c r="I36" i="3"/>
  <c r="M35" i="3"/>
  <c r="H35" i="3"/>
  <c r="O35" i="3" s="1"/>
  <c r="I35" i="3"/>
  <c r="N35" i="3" s="1"/>
  <c r="M34" i="3"/>
  <c r="N34" i="3"/>
  <c r="H34" i="3"/>
  <c r="O34" i="3" s="1"/>
  <c r="I34" i="3"/>
  <c r="M33" i="3"/>
  <c r="H33" i="3"/>
  <c r="I33" i="3"/>
  <c r="N33" i="3" s="1"/>
  <c r="M32" i="3"/>
  <c r="N32" i="3" s="1"/>
  <c r="H32" i="3"/>
  <c r="I32" i="3"/>
  <c r="M31" i="3"/>
  <c r="H31" i="3"/>
  <c r="I31" i="3"/>
  <c r="M30" i="3"/>
  <c r="N30" i="3"/>
  <c r="H30" i="3"/>
  <c r="I30" i="3"/>
  <c r="M29" i="3"/>
  <c r="H29" i="3"/>
  <c r="O29" i="3" s="1"/>
  <c r="I29" i="3"/>
  <c r="N29" i="3" s="1"/>
  <c r="M28" i="3"/>
  <c r="N28" i="3" s="1"/>
  <c r="H28" i="3"/>
  <c r="I28" i="3"/>
  <c r="M27" i="3"/>
  <c r="H27" i="3"/>
  <c r="O27" i="3" s="1"/>
  <c r="I27" i="3"/>
  <c r="N27" i="3" s="1"/>
  <c r="M26" i="3"/>
  <c r="N26" i="3" s="1"/>
  <c r="O26" i="3"/>
  <c r="H26" i="3"/>
  <c r="I26" i="3"/>
  <c r="M25" i="3"/>
  <c r="I25" i="3"/>
  <c r="N25" i="3" s="1"/>
  <c r="H25" i="3"/>
  <c r="O25" i="3" s="1"/>
  <c r="M24" i="3"/>
  <c r="H24" i="3"/>
  <c r="I24" i="3"/>
  <c r="M23" i="3"/>
  <c r="H23" i="3"/>
  <c r="I23" i="3"/>
  <c r="N23" i="3" s="1"/>
  <c r="M22" i="3"/>
  <c r="N22" i="3" s="1"/>
  <c r="H22" i="3"/>
  <c r="I22" i="3"/>
  <c r="M21" i="3"/>
  <c r="H21" i="3"/>
  <c r="O21" i="3" s="1"/>
  <c r="I21" i="3"/>
  <c r="N21" i="3" s="1"/>
  <c r="M20" i="3"/>
  <c r="N20" i="3" s="1"/>
  <c r="O20" i="3"/>
  <c r="H20" i="3"/>
  <c r="I20" i="3"/>
  <c r="M19" i="3"/>
  <c r="H19" i="3"/>
  <c r="O19" i="3" s="1"/>
  <c r="I19" i="3"/>
  <c r="N19" i="3" s="1"/>
  <c r="M18" i="3"/>
  <c r="N18" i="3" s="1"/>
  <c r="H18" i="3"/>
  <c r="I18" i="3"/>
  <c r="M17" i="3"/>
  <c r="H17" i="3"/>
  <c r="O17" i="3" s="1"/>
  <c r="I17" i="3"/>
  <c r="M16" i="3"/>
  <c r="N16" i="3"/>
  <c r="H16" i="3"/>
  <c r="O16" i="3" s="1"/>
  <c r="I16" i="3"/>
  <c r="M15" i="3"/>
  <c r="H15" i="3"/>
  <c r="I15" i="3"/>
  <c r="N15" i="3" s="1"/>
  <c r="M14" i="3"/>
  <c r="N14" i="3" s="1"/>
  <c r="H14" i="3"/>
  <c r="I14" i="3"/>
  <c r="M13" i="3"/>
  <c r="H13" i="3"/>
  <c r="I13" i="3"/>
  <c r="N13" i="3" s="1"/>
  <c r="M12" i="3"/>
  <c r="N12" i="3"/>
  <c r="H12" i="3"/>
  <c r="O12" i="3" s="1"/>
  <c r="I12" i="3"/>
  <c r="M11" i="3"/>
  <c r="H11" i="3"/>
  <c r="O11" i="3" s="1"/>
  <c r="I11" i="3"/>
  <c r="M10" i="3"/>
  <c r="N10" i="3" s="1"/>
  <c r="H10" i="3"/>
  <c r="O10" i="3" s="1"/>
  <c r="I10" i="3"/>
  <c r="M9" i="3"/>
  <c r="H9" i="3"/>
  <c r="I9" i="3"/>
  <c r="N9" i="3" s="1"/>
  <c r="M8" i="3"/>
  <c r="N8" i="3" s="1"/>
  <c r="H8" i="3"/>
  <c r="O8" i="3" s="1"/>
  <c r="I8" i="3"/>
  <c r="M7" i="3"/>
  <c r="H7" i="3"/>
  <c r="I7" i="3"/>
  <c r="M6" i="3"/>
  <c r="N6" i="3" s="1"/>
  <c r="H6" i="3"/>
  <c r="I6" i="3"/>
  <c r="M4" i="3"/>
  <c r="I4" i="3"/>
  <c r="N4" i="3" s="1"/>
  <c r="H4" i="3"/>
  <c r="O4" i="3" s="1"/>
  <c r="O5" i="3"/>
  <c r="N5" i="3"/>
  <c r="M5" i="3"/>
  <c r="I5" i="3"/>
  <c r="H5" i="3"/>
  <c r="M3" i="3"/>
  <c r="I3" i="3"/>
  <c r="N3" i="3" s="1"/>
  <c r="H3" i="3"/>
  <c r="O3" i="3" s="1"/>
  <c r="M2" i="3"/>
  <c r="I2" i="3"/>
  <c r="H2" i="3"/>
  <c r="O2" i="3" s="1"/>
  <c r="G2" i="2"/>
  <c r="A2" i="2"/>
  <c r="AD41" i="1"/>
  <c r="AD40" i="1"/>
  <c r="AD39" i="1"/>
  <c r="AD38" i="1"/>
  <c r="F40" i="4" l="1"/>
  <c r="D35" i="4"/>
  <c r="B43" i="4"/>
  <c r="F43" i="4" s="1"/>
  <c r="E32" i="4"/>
  <c r="B42" i="4"/>
  <c r="F42" i="4" s="1"/>
  <c r="H25" i="5"/>
  <c r="M21" i="1"/>
  <c r="M13" i="1"/>
  <c r="H41" i="5"/>
  <c r="D2" i="2"/>
  <c r="I4" i="1"/>
  <c r="J4" i="1" s="1"/>
  <c r="K4" i="1" s="1"/>
  <c r="H5" i="5"/>
  <c r="H29" i="5"/>
  <c r="M29" i="1"/>
  <c r="M61" i="1"/>
  <c r="H17" i="5"/>
  <c r="M53" i="1"/>
  <c r="H21" i="5"/>
  <c r="M45" i="1"/>
  <c r="I37" i="1"/>
  <c r="J37" i="1" s="1"/>
  <c r="K37" i="1" s="1"/>
  <c r="H4" i="5"/>
  <c r="M3" i="1"/>
  <c r="I5" i="1"/>
  <c r="M69" i="1"/>
  <c r="H2" i="5"/>
  <c r="I24" i="1"/>
  <c r="J24" i="1" s="1"/>
  <c r="K24" i="1" s="1"/>
  <c r="I46" i="1"/>
  <c r="J46" i="1" s="1"/>
  <c r="K46" i="1" s="1"/>
  <c r="M54" i="1"/>
  <c r="M56" i="1"/>
  <c r="M48" i="1"/>
  <c r="M40" i="1"/>
  <c r="M46" i="1"/>
  <c r="I25" i="1"/>
  <c r="J25" i="1" s="1"/>
  <c r="K25" i="1" s="1"/>
  <c r="I22" i="1"/>
  <c r="J22" i="1" s="1"/>
  <c r="K22" i="1" s="1"/>
  <c r="I6" i="1"/>
  <c r="J6" i="1" s="1"/>
  <c r="K6" i="1" s="1"/>
  <c r="I57" i="1"/>
  <c r="J57" i="1" s="1"/>
  <c r="K57" i="1" s="1"/>
  <c r="M49" i="1"/>
  <c r="M25" i="1"/>
  <c r="M17" i="1"/>
  <c r="I68" i="1"/>
  <c r="J68" i="1" s="1"/>
  <c r="K68" i="1" s="1"/>
  <c r="I52" i="1"/>
  <c r="J52" i="1" s="1"/>
  <c r="K52" i="1" s="1"/>
  <c r="M44" i="1"/>
  <c r="M36" i="1"/>
  <c r="M28" i="1"/>
  <c r="I23" i="1"/>
  <c r="J23" i="1" s="1"/>
  <c r="K23" i="1" s="1"/>
  <c r="M20" i="1"/>
  <c r="M12" i="1"/>
  <c r="M72" i="1"/>
  <c r="M32" i="1"/>
  <c r="I16" i="1"/>
  <c r="J16" i="1" s="1"/>
  <c r="K16" i="1" s="1"/>
  <c r="M8" i="1"/>
  <c r="M67" i="1"/>
  <c r="M59" i="1"/>
  <c r="M51" i="1"/>
  <c r="I43" i="1"/>
  <c r="J43" i="1" s="1"/>
  <c r="K43" i="1" s="1"/>
  <c r="M30" i="1"/>
  <c r="M14" i="1"/>
  <c r="M73" i="1"/>
  <c r="I65" i="1"/>
  <c r="J65" i="1" s="1"/>
  <c r="K65" i="1" s="1"/>
  <c r="I41" i="1"/>
  <c r="J41" i="1" s="1"/>
  <c r="K41" i="1" s="1"/>
  <c r="H11" i="5"/>
  <c r="I55" i="1"/>
  <c r="J55" i="1" s="1"/>
  <c r="K55" i="1" s="1"/>
  <c r="M47" i="1"/>
  <c r="H28" i="5"/>
  <c r="M23" i="1"/>
  <c r="I21" i="1"/>
  <c r="J21" i="1" s="1"/>
  <c r="K21" i="1" s="1"/>
  <c r="M15" i="1"/>
  <c r="M7" i="1"/>
  <c r="M70" i="1"/>
  <c r="I33" i="1"/>
  <c r="J33" i="1" s="1"/>
  <c r="K33" i="1" s="1"/>
  <c r="I71" i="1"/>
  <c r="J71" i="1" s="1"/>
  <c r="K71" i="1" s="1"/>
  <c r="M63" i="1"/>
  <c r="M39" i="1"/>
  <c r="I66" i="1"/>
  <c r="J66" i="1" s="1"/>
  <c r="K66" i="1" s="1"/>
  <c r="I53" i="1"/>
  <c r="J53" i="1" s="1"/>
  <c r="K53" i="1" s="1"/>
  <c r="M42" i="1"/>
  <c r="M34" i="1"/>
  <c r="M26" i="1"/>
  <c r="M18" i="1"/>
  <c r="M10" i="1"/>
  <c r="H10" i="5"/>
  <c r="H22" i="5"/>
  <c r="H30" i="5"/>
  <c r="H34" i="5"/>
  <c r="H35" i="5"/>
  <c r="H23" i="5"/>
  <c r="H16" i="5"/>
  <c r="H20" i="5"/>
  <c r="H24" i="5"/>
  <c r="H8" i="5"/>
  <c r="I72" i="1"/>
  <c r="J72" i="1" s="1"/>
  <c r="K72" i="1" s="1"/>
  <c r="I60" i="1"/>
  <c r="J60" i="1" s="1"/>
  <c r="K60" i="1" s="1"/>
  <c r="I38" i="1"/>
  <c r="J38" i="1" s="1"/>
  <c r="K38" i="1" s="1"/>
  <c r="I35" i="1"/>
  <c r="J35" i="1" s="1"/>
  <c r="K35" i="1" s="1"/>
  <c r="I27" i="1"/>
  <c r="J27" i="1" s="1"/>
  <c r="K27" i="1" s="1"/>
  <c r="I19" i="1"/>
  <c r="J19" i="1" s="1"/>
  <c r="K19" i="1" s="1"/>
  <c r="I11" i="1"/>
  <c r="J11" i="1" s="1"/>
  <c r="K11" i="1" s="1"/>
  <c r="I56" i="1"/>
  <c r="J56" i="1" s="1"/>
  <c r="K56" i="1" s="1"/>
  <c r="I17" i="1"/>
  <c r="J17" i="1" s="1"/>
  <c r="K17" i="1" s="1"/>
  <c r="M37" i="1"/>
  <c r="M5" i="1"/>
  <c r="F9" i="5"/>
  <c r="I54" i="1"/>
  <c r="J54" i="1" s="1"/>
  <c r="K54" i="1" s="1"/>
  <c r="I15" i="1"/>
  <c r="J15" i="1" s="1"/>
  <c r="K15" i="1" s="1"/>
  <c r="M68" i="1"/>
  <c r="M60" i="1"/>
  <c r="M52" i="1"/>
  <c r="M4" i="1"/>
  <c r="I69" i="1"/>
  <c r="J69" i="1" s="1"/>
  <c r="K69" i="1" s="1"/>
  <c r="I58" i="1"/>
  <c r="J58" i="1" s="1"/>
  <c r="K58" i="1" s="1"/>
  <c r="I44" i="1"/>
  <c r="J44" i="1" s="1"/>
  <c r="K44" i="1" s="1"/>
  <c r="I39" i="1"/>
  <c r="J39" i="1" s="1"/>
  <c r="K39" i="1" s="1"/>
  <c r="I9" i="1"/>
  <c r="J9" i="1" s="1"/>
  <c r="K9" i="1" s="1"/>
  <c r="I7" i="1"/>
  <c r="J7" i="1" s="1"/>
  <c r="K7" i="1" s="1"/>
  <c r="I49" i="1"/>
  <c r="J49" i="1" s="1"/>
  <c r="K49" i="1" s="1"/>
  <c r="I8" i="1"/>
  <c r="M43" i="1"/>
  <c r="M35" i="1"/>
  <c r="M27" i="1"/>
  <c r="M19" i="1"/>
  <c r="M11" i="1"/>
  <c r="F30" i="5"/>
  <c r="I64" i="1"/>
  <c r="J64" i="1" s="1"/>
  <c r="K64" i="1" s="1"/>
  <c r="I61" i="1"/>
  <c r="J61" i="1" s="1"/>
  <c r="K61" i="1" s="1"/>
  <c r="I50" i="1"/>
  <c r="J50" i="1" s="1"/>
  <c r="K50" i="1" s="1"/>
  <c r="I36" i="1"/>
  <c r="J36" i="1" s="1"/>
  <c r="K36" i="1" s="1"/>
  <c r="I28" i="1"/>
  <c r="J28" i="1" s="1"/>
  <c r="K28" i="1" s="1"/>
  <c r="I20" i="1"/>
  <c r="J20" i="1" s="1"/>
  <c r="K20" i="1" s="1"/>
  <c r="I12" i="1"/>
  <c r="J12" i="1" s="1"/>
  <c r="K12" i="1" s="1"/>
  <c r="I73" i="1"/>
  <c r="J73" i="1" s="1"/>
  <c r="K73" i="1" s="1"/>
  <c r="I47" i="1"/>
  <c r="J47" i="1" s="1"/>
  <c r="K47" i="1" s="1"/>
  <c r="M2" i="1"/>
  <c r="M66" i="1"/>
  <c r="M58" i="1"/>
  <c r="M50" i="1"/>
  <c r="G12" i="5" a="1"/>
  <c r="G12" i="5" s="1"/>
  <c r="H12" i="5" s="1"/>
  <c r="G39" i="5" a="1"/>
  <c r="G39" i="5" s="1"/>
  <c r="H39" i="5" s="1"/>
  <c r="I67" i="1"/>
  <c r="J67" i="1" s="1"/>
  <c r="K67" i="1" s="1"/>
  <c r="I42" i="1"/>
  <c r="J42" i="1" s="1"/>
  <c r="K42" i="1" s="1"/>
  <c r="I31" i="1"/>
  <c r="J31" i="1" s="1"/>
  <c r="K31" i="1" s="1"/>
  <c r="I70" i="1"/>
  <c r="J70" i="1" s="1"/>
  <c r="K70" i="1" s="1"/>
  <c r="I40" i="1"/>
  <c r="J40" i="1" s="1"/>
  <c r="K40" i="1" s="1"/>
  <c r="M65" i="1"/>
  <c r="M57" i="1"/>
  <c r="M41" i="1"/>
  <c r="M33" i="1"/>
  <c r="M9" i="1"/>
  <c r="F14" i="5"/>
  <c r="I3" i="1"/>
  <c r="I59" i="1"/>
  <c r="J59" i="1" s="1"/>
  <c r="K59" i="1" s="1"/>
  <c r="I45" i="1"/>
  <c r="J45" i="1" s="1"/>
  <c r="K45" i="1" s="1"/>
  <c r="I34" i="1"/>
  <c r="J34" i="1" s="1"/>
  <c r="K34" i="1" s="1"/>
  <c r="I26" i="1"/>
  <c r="J26" i="1" s="1"/>
  <c r="K26" i="1" s="1"/>
  <c r="I18" i="1"/>
  <c r="J18" i="1" s="1"/>
  <c r="K18" i="1" s="1"/>
  <c r="I10" i="1"/>
  <c r="J10" i="1" s="1"/>
  <c r="K10" i="1" s="1"/>
  <c r="M64" i="1"/>
  <c r="M24" i="1"/>
  <c r="M16" i="1"/>
  <c r="G32" i="5" a="1"/>
  <c r="G32" i="5" s="1"/>
  <c r="H33" i="5" s="1"/>
  <c r="I62" i="1"/>
  <c r="J62" i="1" s="1"/>
  <c r="K62" i="1" s="1"/>
  <c r="I51" i="1"/>
  <c r="J51" i="1" s="1"/>
  <c r="K51" i="1" s="1"/>
  <c r="I48" i="1"/>
  <c r="J48" i="1" s="1"/>
  <c r="K48" i="1" s="1"/>
  <c r="I32" i="1"/>
  <c r="J32" i="1" s="1"/>
  <c r="K32" i="1" s="1"/>
  <c r="I29" i="1"/>
  <c r="J29" i="1" s="1"/>
  <c r="K29" i="1" s="1"/>
  <c r="I13" i="1"/>
  <c r="J13" i="1" s="1"/>
  <c r="K13" i="1" s="1"/>
  <c r="I63" i="1"/>
  <c r="J63" i="1" s="1"/>
  <c r="K63" i="1" s="1"/>
  <c r="M71" i="1"/>
  <c r="M55" i="1"/>
  <c r="M31" i="1"/>
  <c r="G18" i="5" a="1"/>
  <c r="G18" i="5" s="1"/>
  <c r="H19" i="5" s="1"/>
  <c r="I30" i="1"/>
  <c r="J30" i="1" s="1"/>
  <c r="K30" i="1" s="1"/>
  <c r="I14" i="1"/>
  <c r="J14" i="1" s="1"/>
  <c r="K14" i="1" s="1"/>
  <c r="M62" i="1"/>
  <c r="M38" i="1"/>
  <c r="M22" i="1"/>
  <c r="M6" i="1"/>
  <c r="F8" i="5"/>
  <c r="G42" i="5" a="1"/>
  <c r="G42" i="5" s="1"/>
  <c r="H43" i="5" s="1"/>
  <c r="H36" i="5"/>
  <c r="H3" i="5"/>
  <c r="H9" i="5"/>
  <c r="H14" i="5"/>
  <c r="H37" i="5"/>
  <c r="H27" i="5"/>
  <c r="H7" i="5"/>
  <c r="H15" i="5"/>
  <c r="H6" i="5"/>
  <c r="H31" i="5"/>
  <c r="H26" i="5"/>
  <c r="H38" i="5"/>
  <c r="D92" i="4"/>
  <c r="D60" i="4"/>
  <c r="C67" i="4"/>
  <c r="C76" i="4" s="1"/>
  <c r="D72" i="4"/>
  <c r="D68" i="4"/>
  <c r="C77" i="4"/>
  <c r="D69" i="4"/>
  <c r="C78" i="4"/>
  <c r="D63" i="4"/>
  <c r="D81" i="4"/>
  <c r="D59" i="4"/>
  <c r="C70" i="4"/>
  <c r="D54" i="4"/>
  <c r="F39" i="4"/>
  <c r="F41" i="4"/>
  <c r="D21" i="4"/>
  <c r="C22" i="4"/>
  <c r="C26" i="4"/>
  <c r="D26" i="4"/>
  <c r="D22" i="4"/>
  <c r="C21" i="4"/>
  <c r="N5" i="5"/>
  <c r="N7" i="5" s="1"/>
  <c r="O7" i="5" s="1"/>
  <c r="N3" i="5"/>
  <c r="O3" i="5" s="1"/>
  <c r="N4" i="5"/>
  <c r="O4" i="5" s="1"/>
  <c r="N2" i="5"/>
  <c r="J5" i="1"/>
  <c r="K5" i="1" s="1"/>
  <c r="I2" i="1"/>
  <c r="J8" i="1"/>
  <c r="K8" i="1" s="1"/>
  <c r="J3" i="1"/>
  <c r="K3" i="1" s="1"/>
  <c r="N54" i="3"/>
  <c r="N61" i="3"/>
  <c r="N48" i="3"/>
  <c r="O9" i="3"/>
  <c r="O30" i="3"/>
  <c r="O44" i="3"/>
  <c r="N7" i="3"/>
  <c r="N11" i="3"/>
  <c r="O15" i="3"/>
  <c r="O33" i="3"/>
  <c r="N59" i="3"/>
  <c r="O13" i="3"/>
  <c r="N17" i="3"/>
  <c r="O23" i="3"/>
  <c r="N31" i="3"/>
  <c r="N39" i="3"/>
  <c r="N45" i="3"/>
  <c r="N43" i="3"/>
  <c r="O51" i="3"/>
  <c r="N49" i="3"/>
  <c r="N51" i="3"/>
  <c r="O59" i="3"/>
  <c r="O55" i="3"/>
  <c r="O52" i="3"/>
  <c r="O45" i="3"/>
  <c r="O43" i="3"/>
  <c r="N37" i="3"/>
  <c r="O32" i="3"/>
  <c r="O31" i="3"/>
  <c r="O28" i="3"/>
  <c r="O24" i="3"/>
  <c r="N24" i="3"/>
  <c r="O22" i="3"/>
  <c r="O18" i="3"/>
  <c r="O14" i="3"/>
  <c r="O7" i="3"/>
  <c r="O6" i="3"/>
  <c r="N2" i="3"/>
  <c r="F2" i="2"/>
  <c r="H2" i="2" s="1"/>
  <c r="I2" i="2" s="1"/>
  <c r="J3" i="5" l="1"/>
  <c r="H18" i="5"/>
  <c r="J2" i="5"/>
  <c r="H32" i="5"/>
  <c r="J4" i="5"/>
  <c r="AD3" i="1"/>
  <c r="H13" i="5"/>
  <c r="H40" i="5"/>
  <c r="H42" i="5"/>
  <c r="J5" i="5"/>
  <c r="N12" i="5"/>
  <c r="N14" i="5"/>
  <c r="O14" i="5" s="1"/>
  <c r="N13" i="5"/>
  <c r="O13" i="5" s="1"/>
  <c r="O5" i="5"/>
  <c r="O2" i="5"/>
  <c r="R6" i="5"/>
  <c r="R5" i="5"/>
  <c r="R2" i="5"/>
  <c r="D67" i="4"/>
  <c r="D77" i="4"/>
  <c r="C86" i="4"/>
  <c r="D86" i="4" s="1"/>
  <c r="D76" i="4"/>
  <c r="C85" i="4"/>
  <c r="D85" i="4" s="1"/>
  <c r="D78" i="4"/>
  <c r="C87" i="4"/>
  <c r="D87" i="4" s="1"/>
  <c r="C79" i="4"/>
  <c r="D70" i="4"/>
  <c r="I41" i="4"/>
  <c r="F22" i="4"/>
  <c r="G22" i="4" s="1"/>
  <c r="H41" i="4"/>
  <c r="I26" i="4"/>
  <c r="H26" i="4" a="1"/>
  <c r="H26" i="4" s="1"/>
  <c r="H22" i="4" a="1"/>
  <c r="H22" i="4" s="1"/>
  <c r="F26" i="4"/>
  <c r="G26" i="4" s="1"/>
  <c r="J2" i="1"/>
  <c r="E2" i="2" s="1"/>
  <c r="J2" i="2"/>
  <c r="N15" i="5" l="1"/>
  <c r="R12" i="5"/>
  <c r="N17" i="5"/>
  <c r="O17" i="5" s="1"/>
  <c r="O15" i="5"/>
  <c r="O12" i="5"/>
  <c r="R13" i="5" s="1"/>
  <c r="K2" i="5"/>
  <c r="R14" i="5"/>
  <c r="K2" i="1"/>
  <c r="R4" i="5"/>
  <c r="R3" i="5"/>
  <c r="D79" i="4"/>
  <c r="C88" i="4"/>
  <c r="G89" i="4"/>
  <c r="R15" i="5" l="1"/>
  <c r="D88" i="4"/>
  <c r="D89" i="4"/>
  <c r="H89" i="4" s="1"/>
  <c r="F89" i="4" l="1"/>
  <c r="E8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 P</author>
  </authors>
  <commentList>
    <comment ref="Q4" authorId="0" shapeId="0" xr:uid="{19D32510-2E72-1F47-B7B3-2774E7678DA6}">
      <text>
        <r>
          <rPr>
            <b/>
            <sz val="10"/>
            <color rgb="FF000000"/>
            <rFont val="Tahoma"/>
            <family val="2"/>
          </rPr>
          <t>B P: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Removed the outliers of -45% and 78%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 P</author>
  </authors>
  <commentList>
    <comment ref="E21" authorId="0" shapeId="0" xr:uid="{2710E238-93F4-424A-9B29-03458B6107C7}">
      <text>
        <r>
          <rPr>
            <b/>
            <sz val="10"/>
            <color rgb="FF000000"/>
            <rFont val="Tahoma"/>
            <family val="2"/>
          </rPr>
          <t>B P: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2023 was a shock year and an outlier that I don't believe represents Circle's future growth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<sst xmlns="http://schemas.openxmlformats.org/spreadsheetml/2006/main" count="313" uniqueCount="234">
  <si>
    <t>Date</t>
  </si>
  <si>
    <t>% Treasuries</t>
  </si>
  <si>
    <t>% Repos</t>
  </si>
  <si>
    <t>% Cash</t>
  </si>
  <si>
    <t>3M Treasury Yield (annual %)</t>
  </si>
  <si>
    <t>SOFR (annual %)</t>
  </si>
  <si>
    <t>Cash Yield (annual %)</t>
  </si>
  <si>
    <t>Avg USDC Float ($)</t>
  </si>
  <si>
    <t>Interest Income (period, $)</t>
  </si>
  <si>
    <t>Annualization Factor (x)</t>
  </si>
  <si>
    <t>Distribution Payout Rate (%)</t>
  </si>
  <si>
    <t>2025-06-30</t>
  </si>
  <si>
    <t>USDC Circulation ($)</t>
  </si>
  <si>
    <t>Modeled Reserve Yield (annual %)</t>
  </si>
  <si>
    <t>Implied Reserve Yield (annual %)</t>
  </si>
  <si>
    <t>Reserve Income (annual $, modeled)</t>
  </si>
  <si>
    <t>Distribution Expense ($)</t>
  </si>
  <si>
    <t>Net Reserve Income ($)</t>
  </si>
  <si>
    <t>Actual Interest Income (annualized, $)</t>
  </si>
  <si>
    <t>Total U.S. Treasury Securities</t>
  </si>
  <si>
    <t>U.S. Treasury Repurchase Agreements</t>
  </si>
  <si>
    <t>Cash Held in Circle Reserve Fund</t>
  </si>
  <si>
    <t>Adjusted CRF Cash</t>
  </si>
  <si>
    <t>Total Circle Reserve Fund Assets</t>
  </si>
  <si>
    <t>Cash Held at Regulated Financial Institutions</t>
  </si>
  <si>
    <t>Cash Due/(Owed by) Circle due to timing and settlement differences, net.</t>
  </si>
  <si>
    <t>Total Other USDC Reserve Assets</t>
  </si>
  <si>
    <t>Total USDC Reserve Assets as of Date</t>
  </si>
  <si>
    <t>Cash</t>
  </si>
  <si>
    <t>Fair Value of Assets Held in USDC Reserve</t>
  </si>
  <si>
    <t>USDC in Circulation</t>
  </si>
  <si>
    <t>Cash due/(owed by) Circle Reserve Fund due to timing and settlement differences, net.</t>
  </si>
  <si>
    <t>Total U.S. Treasury Securities for Other USDC Reserve Assets</t>
  </si>
  <si>
    <t>Weighted Yield %</t>
  </si>
  <si>
    <t>Annualized Interest Income ($)</t>
  </si>
  <si>
    <t>1Q25</t>
  </si>
  <si>
    <t>4Q24</t>
  </si>
  <si>
    <t>3Q24</t>
  </si>
  <si>
    <t>2Q24</t>
  </si>
  <si>
    <t>1Q24</t>
  </si>
  <si>
    <t>4Q23</t>
  </si>
  <si>
    <t>3Q23</t>
  </si>
  <si>
    <t>2Q23</t>
  </si>
  <si>
    <t>1Q23</t>
  </si>
  <si>
    <t>4Q22</t>
  </si>
  <si>
    <t>3Q22</t>
  </si>
  <si>
    <t>2Q22</t>
  </si>
  <si>
    <t>1Q22</t>
  </si>
  <si>
    <t>Reserve Return Rate (%)</t>
  </si>
  <si>
    <t>Weighted Yield with Repo Spread Adjustment (+.0067)</t>
  </si>
  <si>
    <t>Growth Factor Conversion</t>
  </si>
  <si>
    <t>2022 Feb</t>
  </si>
  <si>
    <t>2022 Jan</t>
  </si>
  <si>
    <t>2022 Mar</t>
  </si>
  <si>
    <t>2022 Apr</t>
  </si>
  <si>
    <t>2022 Jun</t>
  </si>
  <si>
    <t>2022 Jul</t>
  </si>
  <si>
    <t>2022 May</t>
  </si>
  <si>
    <t>2022 Aug</t>
  </si>
  <si>
    <t>2022 Sep</t>
  </si>
  <si>
    <t>2022 Oct</t>
  </si>
  <si>
    <t>2022 Nov</t>
  </si>
  <si>
    <t>2022 Dec</t>
  </si>
  <si>
    <t>2023 Jan</t>
  </si>
  <si>
    <t>2023 Feb</t>
  </si>
  <si>
    <t>2023 Mar</t>
  </si>
  <si>
    <t>2023 Apr</t>
  </si>
  <si>
    <t>2023 May</t>
  </si>
  <si>
    <t>2023 Jun</t>
  </si>
  <si>
    <t>2023 Jul</t>
  </si>
  <si>
    <t>2023 Aug</t>
  </si>
  <si>
    <t>2023 Sep</t>
  </si>
  <si>
    <t>2023 Oct</t>
  </si>
  <si>
    <t>2023 Nov</t>
  </si>
  <si>
    <t>2023 Dec</t>
  </si>
  <si>
    <t>2024 Jan</t>
  </si>
  <si>
    <t>MoM USDC Circulation Growth Rate</t>
  </si>
  <si>
    <t>2024 Dec</t>
  </si>
  <si>
    <t>2024 Feb</t>
  </si>
  <si>
    <t>2024 Mar</t>
  </si>
  <si>
    <t>2024 Apr</t>
  </si>
  <si>
    <t>2024 May</t>
  </si>
  <si>
    <t>2024 Jun</t>
  </si>
  <si>
    <t>2024 Jul</t>
  </si>
  <si>
    <t>2024 Aug</t>
  </si>
  <si>
    <t>2024 Sep</t>
  </si>
  <si>
    <t>2024 Oct</t>
  </si>
  <si>
    <t>2024 Nov</t>
  </si>
  <si>
    <t>2025 Jan</t>
  </si>
  <si>
    <t>2025 Feb</t>
  </si>
  <si>
    <t>2025 Mar</t>
  </si>
  <si>
    <t>2025 Apr</t>
  </si>
  <si>
    <t>2025 May</t>
  </si>
  <si>
    <t>2025 Jun</t>
  </si>
  <si>
    <t>Annualized Partial Factor since June is last date of data</t>
  </si>
  <si>
    <t>Annual Factor USDC Circulation</t>
  </si>
  <si>
    <t>MoM Avg Float % Growth Rate</t>
  </si>
  <si>
    <t>Avg Float %</t>
  </si>
  <si>
    <t>Sanity Check for Avg Float %</t>
  </si>
  <si>
    <t>Annual Avg Float Growth Rate %</t>
  </si>
  <si>
    <t>Annual USDC Circulation Growth Rate %</t>
  </si>
  <si>
    <t>Geometric Mean</t>
  </si>
  <si>
    <t>Median</t>
  </si>
  <si>
    <t>Trimmed Average</t>
  </si>
  <si>
    <t>For Drivers and Assumptions Tab</t>
  </si>
  <si>
    <t>Exclude 2023 - "Recovery Mean"</t>
  </si>
  <si>
    <t>Full 4- year Geometric Mean</t>
  </si>
  <si>
    <t>Exclude 2024 - "High Stability Mean"</t>
  </si>
  <si>
    <t>Include 2025 Annualized</t>
  </si>
  <si>
    <t>Annual Factor Avg Float</t>
  </si>
  <si>
    <t>Annual Avg Float %</t>
  </si>
  <si>
    <t>Historical average (2022-2024): For Drivers and Assumptions Tab</t>
  </si>
  <si>
    <t>Average Annual SOFR %</t>
  </si>
  <si>
    <t>Average Annual 3Mo T-Bill</t>
  </si>
  <si>
    <t>YoY Growth Rate</t>
  </si>
  <si>
    <t>Growth Factor</t>
  </si>
  <si>
    <t>Multiplied Factor</t>
  </si>
  <si>
    <t>nth Root</t>
  </si>
  <si>
    <t>Transaction Volume ($) Minted + Redeemed</t>
  </si>
  <si>
    <t>https://fred.stlouisfed.org/series/GS3M/22?utm_source=chatgpt.com</t>
  </si>
  <si>
    <t>https://ycharts.com/indicators/sofr?utm_source=chatgpt.com</t>
  </si>
  <si>
    <t>https://fred.stlouisfed.org/series/SOFR?utm_source=chatgpt.com</t>
  </si>
  <si>
    <t>3M Tbill</t>
  </si>
  <si>
    <t>SOFR</t>
  </si>
  <si>
    <t>Weighted Geometric Mean of Factors (lowering weight of 2023)</t>
  </si>
  <si>
    <t>Weights</t>
  </si>
  <si>
    <t>For Drivers &amp; Assumptions</t>
  </si>
  <si>
    <t>Transaction Volume Driver</t>
  </si>
  <si>
    <t>Reserve Yield Drivers</t>
  </si>
  <si>
    <t>Take Rate Driver</t>
  </si>
  <si>
    <t>2025 3 - month end</t>
  </si>
  <si>
    <t>Annualized Transaction Volume</t>
  </si>
  <si>
    <t>Annualized Transaction Fee Revenue</t>
  </si>
  <si>
    <t>Take Rate</t>
  </si>
  <si>
    <t>Transaction Fee Revenue (in thousands)</t>
  </si>
  <si>
    <t>Transaction Volume ($) Minted + Redeemed (millions)</t>
  </si>
  <si>
    <t>2024 3 - month end</t>
  </si>
  <si>
    <t>Weighted Geometric Mean</t>
  </si>
  <si>
    <t>Arithmetic Mean</t>
  </si>
  <si>
    <t>2024 6 - month end</t>
  </si>
  <si>
    <t>2025 6 - month end</t>
  </si>
  <si>
    <t>2025 6-month end</t>
  </si>
  <si>
    <t>Cost of Revenue % of Total Revenue Driver</t>
  </si>
  <si>
    <t>Total Revenue</t>
  </si>
  <si>
    <t>Cost of Revenue % of Total Revenue</t>
  </si>
  <si>
    <t>Sales &amp; Marketing % of Total Revenue Driver</t>
  </si>
  <si>
    <t>Marketing Expenses</t>
  </si>
  <si>
    <t>Sales &amp; Marketing % Total Revenue</t>
  </si>
  <si>
    <t>Annualized 2025 (x 2)</t>
  </si>
  <si>
    <t>R&amp;D/IT Infrastructure % of Total Revenue Driver</t>
  </si>
  <si>
    <t>IT Infrastructure Costs</t>
  </si>
  <si>
    <t>R&amp;D/IT Infrastructure % of Total Revenue</t>
  </si>
  <si>
    <t>G&amp;A % of Total Revenue Driver</t>
  </si>
  <si>
    <t>G&amp;A Expenses</t>
  </si>
  <si>
    <t>G&amp;A Expenses % of Total Revenue</t>
  </si>
  <si>
    <t>Total Distribution, Transaction, and Other Costs</t>
  </si>
  <si>
    <t>Compensation Expense % of Total Revenue Driver</t>
  </si>
  <si>
    <t>Compensation Expenses % of Total Revenue</t>
  </si>
  <si>
    <t>Compensation Expenses</t>
  </si>
  <si>
    <t>Simple Average</t>
  </si>
  <si>
    <t>Weighted Average(More Recent Emphasis)</t>
  </si>
  <si>
    <t>Ignore 2025 as Outlier</t>
  </si>
  <si>
    <t>2025 6-month end adjusted for IPO RSU</t>
  </si>
  <si>
    <t>Adjusted Average</t>
  </si>
  <si>
    <t>2025 Annualized (x 2)</t>
  </si>
  <si>
    <t>Partner Payout % of Reserve Income Driver</t>
  </si>
  <si>
    <t>Distrubtion and Transaction Costs</t>
  </si>
  <si>
    <t>Reserve Income</t>
  </si>
  <si>
    <t>Partner Payout Rate (%)</t>
  </si>
  <si>
    <t>3-year Average</t>
  </si>
  <si>
    <t>Average USDC Circulation</t>
  </si>
  <si>
    <t>Month - Year</t>
  </si>
  <si>
    <t>Row Labels</t>
  </si>
  <si>
    <t>Grand Total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</si>
  <si>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</si>
  <si>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</si>
  <si>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</si>
  <si>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</si>
  <si>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</si>
  <si>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</si>
  <si>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</si>
  <si>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</si>
  <si>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</si>
  <si>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</si>
  <si>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</si>
  <si>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</si>
  <si>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</si>
  <si>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</si>
  <si>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</si>
  <si>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</si>
  <si>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</si>
  <si>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</si>
  <si>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</si>
  <si>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</si>
  <si>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</si>
  <si>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</si>
  <si>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</si>
  <si>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</si>
  <si>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</si>
  <si>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</si>
  <si>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</si>
  <si>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</si>
  <si>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</si>
  <si>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</si>
  <si>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</si>
  <si>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</si>
  <si>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</si>
  <si>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</si>
  <si>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</si>
  <si>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</si>
  <si>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Average of Weighted Yield %</t>
  </si>
  <si>
    <t>Year</t>
  </si>
  <si>
    <t>2022</t>
  </si>
  <si>
    <t>2023</t>
  </si>
  <si>
    <t>2024</t>
  </si>
  <si>
    <t>2025</t>
  </si>
  <si>
    <t>Average of Average of Weighted Yield %</t>
  </si>
  <si>
    <t>(Multiple Items)</t>
  </si>
  <si>
    <t>Average of Avg USDC Float ($)</t>
  </si>
  <si>
    <t>Average of USDC Float</t>
  </si>
  <si>
    <t>Average of Average of USDC Float</t>
  </si>
  <si>
    <t>Yearly Reserve Revenue</t>
  </si>
  <si>
    <t>Average Reserve Return Rate</t>
  </si>
  <si>
    <t>2026E</t>
  </si>
  <si>
    <t>2027E</t>
  </si>
  <si>
    <t>2028E</t>
  </si>
  <si>
    <t>2029E</t>
  </si>
  <si>
    <t>2030E</t>
  </si>
  <si>
    <t>2031E</t>
  </si>
  <si>
    <t>2032E</t>
  </si>
  <si>
    <t>Effective Tax Rate</t>
  </si>
  <si>
    <t>Net Income Before Taxes</t>
  </si>
  <si>
    <t>Income Tax Expense</t>
  </si>
  <si>
    <t>Average Effective Tax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</si>
</sst>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yyyy\-mm\-dd;@"/>
    <numFmt numFmtId="169" formatCode="0.000%"/>
    <numFmt numFmtId="170" formatCode="0.000000"/>
    <numFmt numFmtId="171" formatCode="0.000"/>
    <numFmt numFmtId="176" formatCode="0.00000%"/>
  </numFmts>
  <fonts count="8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000000"/>
      <name val="Calibri"/>
      <family val="2"/>
      <scheme val="minor"/>
    </font>
    <font>
      <sz val="11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/>
    <xf numFmtId="39" fontId="0" fillId="0" borderId="1" xfId="0" applyNumberFormat="1" applyBorder="1"/>
    <xf numFmtId="0" fontId="2" fillId="0" borderId="1" xfId="0" applyFont="1" applyBorder="1"/>
    <xf numFmtId="3" fontId="0" fillId="0" borderId="0" xfId="0" applyNumberFormat="1"/>
    <xf numFmtId="39" fontId="0" fillId="0" borderId="0" xfId="0" applyNumberFormat="1"/>
    <xf numFmtId="37" fontId="0" fillId="0" borderId="1" xfId="0" applyNumberFormat="1" applyBorder="1"/>
    <xf numFmtId="164" fontId="0" fillId="0" borderId="0" xfId="0" applyNumberFormat="1" applyAlignment="1">
      <alignment horizontal="center"/>
    </xf>
    <xf numFmtId="37" fontId="2" fillId="0" borderId="1" xfId="0" applyNumberFormat="1" applyFont="1" applyBorder="1"/>
    <xf numFmtId="37" fontId="2" fillId="0" borderId="1" xfId="0" applyNumberFormat="1" applyFont="1" applyBorder="1" applyAlignment="1">
      <alignment horizontal="left"/>
    </xf>
    <xf numFmtId="37" fontId="2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/>
    </xf>
    <xf numFmtId="39" fontId="2" fillId="0" borderId="0" xfId="0" applyNumberFormat="1" applyFont="1"/>
    <xf numFmtId="37" fontId="2" fillId="0" borderId="0" xfId="0" applyNumberFormat="1" applyFont="1"/>
    <xf numFmtId="37" fontId="2" fillId="0" borderId="0" xfId="0" applyNumberFormat="1" applyFont="1" applyAlignment="1">
      <alignment horizontal="right"/>
    </xf>
    <xf numFmtId="10" fontId="0" fillId="0" borderId="0" xfId="0" applyNumberFormat="1"/>
    <xf numFmtId="0" fontId="0" fillId="0" borderId="0" xfId="0" applyBorder="1"/>
    <xf numFmtId="44" fontId="0" fillId="0" borderId="0" xfId="0" applyNumberFormat="1"/>
    <xf numFmtId="44" fontId="0" fillId="0" borderId="0" xfId="0" applyNumberFormat="1" applyAlignment="1">
      <alignment horizontal="right"/>
    </xf>
    <xf numFmtId="44" fontId="0" fillId="0" borderId="0" xfId="0" applyNumberFormat="1" applyAlignment="1">
      <alignment horizontal="left"/>
    </xf>
    <xf numFmtId="1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left"/>
    </xf>
    <xf numFmtId="17" fontId="0" fillId="0" borderId="0" xfId="0" applyNumberFormat="1"/>
    <xf numFmtId="16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10" fontId="0" fillId="0" borderId="0" xfId="0" applyNumberFormat="1" applyFill="1"/>
    <xf numFmtId="0" fontId="0" fillId="0" borderId="0" xfId="0" applyAlignment="1"/>
    <xf numFmtId="169" fontId="0" fillId="0" borderId="0" xfId="0" applyNumberFormat="1"/>
    <xf numFmtId="0" fontId="2" fillId="0" borderId="0" xfId="0" applyFont="1"/>
    <xf numFmtId="170" fontId="0" fillId="0" borderId="0" xfId="0" applyNumberFormat="1"/>
    <xf numFmtId="0" fontId="2" fillId="0" borderId="0" xfId="0" applyFont="1" applyAlignment="1">
      <alignment wrapText="1"/>
    </xf>
    <xf numFmtId="4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0" fillId="0" borderId="3" xfId="0" applyBorder="1"/>
    <xf numFmtId="0" fontId="2" fillId="0" borderId="4" xfId="0" applyFont="1" applyBorder="1"/>
    <xf numFmtId="0" fontId="2" fillId="0" borderId="5" xfId="0" applyFont="1" applyBorder="1" applyAlignment="1">
      <alignment horizontal="left"/>
    </xf>
    <xf numFmtId="0" fontId="0" fillId="0" borderId="6" xfId="0" applyBorder="1"/>
    <xf numFmtId="0" fontId="0" fillId="0" borderId="5" xfId="0" applyBorder="1" applyAlignment="1">
      <alignment horizontal="left"/>
    </xf>
    <xf numFmtId="42" fontId="0" fillId="0" borderId="0" xfId="0" applyNumberFormat="1" applyBorder="1"/>
    <xf numFmtId="169" fontId="0" fillId="0" borderId="6" xfId="0" applyNumberFormat="1" applyBorder="1"/>
    <xf numFmtId="0" fontId="0" fillId="0" borderId="7" xfId="0" applyBorder="1" applyAlignment="1">
      <alignment horizontal="left"/>
    </xf>
    <xf numFmtId="42" fontId="0" fillId="0" borderId="1" xfId="0" applyNumberFormat="1" applyBorder="1"/>
    <xf numFmtId="169" fontId="0" fillId="0" borderId="8" xfId="0" applyNumberFormat="1" applyBorder="1"/>
    <xf numFmtId="0" fontId="2" fillId="0" borderId="2" xfId="0" applyFont="1" applyBorder="1"/>
    <xf numFmtId="0" fontId="2" fillId="0" borderId="3" xfId="0" applyFont="1" applyBorder="1"/>
    <xf numFmtId="0" fontId="0" fillId="0" borderId="4" xfId="0" applyBorder="1"/>
    <xf numFmtId="0" fontId="0" fillId="0" borderId="5" xfId="0" applyBorder="1"/>
    <xf numFmtId="169" fontId="0" fillId="0" borderId="0" xfId="0" applyNumberFormat="1" applyBorder="1"/>
    <xf numFmtId="2" fontId="0" fillId="0" borderId="0" xfId="0" applyNumberFormat="1" applyBorder="1"/>
    <xf numFmtId="0" fontId="0" fillId="0" borderId="7" xfId="0" applyBorder="1"/>
    <xf numFmtId="169" fontId="0" fillId="0" borderId="1" xfId="0" applyNumberFormat="1" applyBorder="1"/>
    <xf numFmtId="2" fontId="0" fillId="0" borderId="1" xfId="0" applyNumberFormat="1" applyBorder="1"/>
    <xf numFmtId="176" fontId="0" fillId="0" borderId="1" xfId="0" applyNumberFormat="1" applyBorder="1"/>
    <xf numFmtId="171" fontId="0" fillId="0" borderId="0" xfId="0" applyNumberFormat="1" applyBorder="1"/>
    <xf numFmtId="0" fontId="6" fillId="0" borderId="7" xfId="0" applyFont="1" applyBorder="1" applyAlignment="1">
      <alignment horizontal="left"/>
    </xf>
    <xf numFmtId="171" fontId="0" fillId="0" borderId="1" xfId="0" applyNumberFormat="1" applyBorder="1"/>
    <xf numFmtId="10" fontId="0" fillId="0" borderId="0" xfId="0" applyNumberFormat="1" applyBorder="1"/>
    <xf numFmtId="10" fontId="0" fillId="0" borderId="6" xfId="0" applyNumberFormat="1" applyBorder="1"/>
    <xf numFmtId="10" fontId="0" fillId="0" borderId="1" xfId="0" applyNumberFormat="1" applyBorder="1"/>
    <xf numFmtId="10" fontId="0" fillId="0" borderId="8" xfId="0" applyNumberFormat="1" applyBorder="1"/>
    <xf numFmtId="0" fontId="0" fillId="0" borderId="5" xfId="0" applyBorder="1" applyAlignment="1">
      <alignment horizontal="left" wrapText="1"/>
    </xf>
    <xf numFmtId="0" fontId="0" fillId="0" borderId="8" xfId="0" applyBorder="1"/>
    <xf numFmtId="0" fontId="0" fillId="0" borderId="6" xfId="0" applyFill="1" applyBorder="1"/>
    <xf numFmtId="37" fontId="0" fillId="0" borderId="0" xfId="0" applyNumberFormat="1"/>
    <xf numFmtId="0" fontId="0" fillId="0" borderId="0" xfId="0" pivotButton="1"/>
    <xf numFmtId="0" fontId="0" fillId="0" borderId="0" xfId="0" applyNumberFormat="1" applyAlignment="1">
      <alignment horizontal="right"/>
    </xf>
    <xf numFmtId="10" fontId="0" fillId="0" borderId="6" xfId="1" applyNumberFormat="1" applyFont="1" applyBorder="1"/>
    <xf numFmtId="0" fontId="0" fillId="0" borderId="5" xfId="0" applyFill="1" applyBorder="1" applyAlignment="1">
      <alignment horizontal="left"/>
    </xf>
    <xf numFmtId="0" fontId="0" fillId="0" borderId="7" xfId="0" applyFill="1" applyBorder="1" applyAlignment="1">
      <alignment horizontal="left"/>
    </xf>
    <xf numFmtId="10" fontId="7" fillId="0" borderId="0" xfId="0" applyNumberFormat="1" applyFont="1" applyBorder="1"/>
    <xf numFmtId="10" fontId="7" fillId="0" borderId="1" xfId="0" applyNumberFormat="1" applyFont="1" applyBorder="1"/>
    <xf numFmtId="176" fontId="0" fillId="0" borderId="0" xfId="0" applyNumberFormat="1" applyBorder="1"/>
    <xf numFmtId="0" fontId="2" fillId="0" borderId="5" xfId="0" applyFont="1" applyBorder="1"/>
    <xf numFmtId="44" fontId="0" fillId="0" borderId="1" xfId="0" applyNumberFormat="1" applyBorder="1"/>
  </cellXfs>
  <cellStyles count="2">
    <cellStyle name="Normal" xfId="0" builtinId="0"/>
    <cellStyle name="Percent" xfId="1" builtinId="5"/>
  </cellStyles>
  <dxfs count="5">
    <dxf>
      <numFmt numFmtId="34" formatCode="_(&quot;$&quot;* #,##0.00_);_(&quot;$&quot;* \(#,##0.00\);_(&quot;$&quot;* &quot;-&quot;??_);_(@_)"/>
    </dxf>
    <dxf>
      <numFmt numFmtId="169" formatCode="0.000%"/>
    </dxf>
    <dxf>
      <numFmt numFmtId="34" formatCode="_(&quot;$&quot;* #,##0.00_);_(&quot;$&quot;* \(#,##0.00\);_(&quot;$&quot;* &quot;-&quot;??_);_(@_)"/>
    </dxf>
    <dxf>
      <numFmt numFmtId="169" formatCode="0.000%"/>
    </dxf>
    <dxf>
      <numFmt numFmtId="169" formatCode="0.00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45060</xdr:colOff>
      <xdr:row>15</xdr:row>
      <xdr:rowOff>68924</xdr:rowOff>
    </xdr:from>
    <xdr:to>
      <xdr:col>29</xdr:col>
      <xdr:colOff>738157</xdr:colOff>
      <xdr:row>27</xdr:row>
      <xdr:rowOff>63481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664AF-A51D-ACAB-939D-72078E37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0364" y="2885011"/>
          <a:ext cx="7784481" cy="22474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5</xdr:row>
      <xdr:rowOff>25400</xdr:rowOff>
    </xdr:from>
    <xdr:to>
      <xdr:col>5</xdr:col>
      <xdr:colOff>1150114</xdr:colOff>
      <xdr:row>8</xdr:row>
      <xdr:rowOff>50699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BE7335-8E05-208C-7271-40AD7FA91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8200" y="1358900"/>
          <a:ext cx="4363214" cy="812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581247</xdr:colOff>
      <xdr:row>11</xdr:row>
      <xdr:rowOff>181934</xdr:rowOff>
    </xdr:from>
    <xdr:to>
      <xdr:col>15</xdr:col>
      <xdr:colOff>546101</xdr:colOff>
      <xdr:row>28</xdr:row>
      <xdr:rowOff>159599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68931-EC3E-D387-0B3A-01EDD344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53107" y="2293678"/>
          <a:ext cx="7776831" cy="3241270"/>
        </a:xfrm>
        <a:prstGeom prst="rect">
          <a:avLst/>
        </a:prstGeom>
      </xdr:spPr>
    </xdr:pic>
    <xdr:clientData/>
  </xdr:twoCellAnchor>
  <xdr:twoCellAnchor editAs="oneCell">
    <xdr:from>
      <xdr:col>9</xdr:col>
      <xdr:colOff>406400</xdr:colOff>
      <xdr:row>31</xdr:row>
      <xdr:rowOff>50800</xdr:rowOff>
    </xdr:from>
    <xdr:to>
      <xdr:col>15</xdr:col>
      <xdr:colOff>368300</xdr:colOff>
      <xdr:row>53</xdr:row>
      <xdr:rowOff>173170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0980E7-C8D6-AAFD-8886-27756349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84700" y="6527800"/>
          <a:ext cx="7772400" cy="4313369"/>
        </a:xfrm>
        <a:prstGeom prst="rect">
          <a:avLst/>
        </a:prstGeom>
      </xdr:spPr>
    </xdr:pic>
    <xdr:clientData/>
  </xdr:twoCellAnchor>
  <xdr:twoCellAnchor editAs="oneCell">
    <xdr:from>
      <xdr:col>4</xdr:col>
      <xdr:colOff>49028</xdr:colOff>
      <xdr:row>2</xdr:row>
      <xdr:rowOff>298</xdr:rowOff>
    </xdr:from>
    <xdr:to>
      <xdr:col>8</xdr:col>
      <xdr:colOff>14540</xdr:colOff>
      <xdr:row>16</xdr:row>
      <xdr:rowOff>103374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A25FC9-DFC5-DC46-A079-A59A0A94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53330" y="384251"/>
          <a:ext cx="7437838" cy="2790751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1447800</xdr:colOff>
      <xdr:row>58</xdr:row>
      <xdr:rowOff>25400</xdr:rowOff>
    </xdr:from>
    <xdr:to>
      <xdr:col>9</xdr:col>
      <xdr:colOff>3454400</xdr:colOff>
      <xdr:row>85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92D5D-B4B1-A1AD-A7B6-BA86EE97C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449800" y="10121900"/>
          <a:ext cx="7454900" cy="5118100"/>
        </a:xfrm>
        <a:prstGeom prst="rect">
          <a:avLst/>
        </a:prstGeom>
      </xdr:spPr>
    </xdr:pic>
    <xdr:clientData/>
  </xdr:twoCellAnchor>
  <xdr:twoCellAnchor editAs="oneCell">
    <xdr:from>
      <xdr:col>4</xdr:col>
      <xdr:colOff>330200</xdr:colOff>
      <xdr:row>47</xdr:row>
      <xdr:rowOff>76200</xdr:rowOff>
    </xdr:from>
    <xdr:to>
      <xdr:col>7</xdr:col>
      <xdr:colOff>1549400</xdr:colOff>
      <xdr:row>68</xdr:row>
      <xdr:rowOff>101600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907432-3567-FBE2-7B8B-6B87DC91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600" y="8267700"/>
          <a:ext cx="7035800" cy="4025900"/>
        </a:xfrm>
        <a:prstGeom prst="rect">
          <a:avLst/>
        </a:prstGeom>
      </xdr:spPr>
    </xdr:pic>
    <xdr:clientData/>
  </xdr:twoCellAnchor>
  <xdr:twoCellAnchor editAs="oneCell">
    <xdr:from>
      <xdr:col>9</xdr:col>
      <xdr:colOff>3403600</xdr:colOff>
      <xdr:row>56</xdr:row>
      <xdr:rowOff>76200</xdr:rowOff>
    </xdr:from>
    <xdr:to>
      <xdr:col>19</xdr:col>
      <xdr:colOff>63500</xdr:colOff>
      <xdr:row>66</xdr:row>
      <xdr:rowOff>50875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C87CC3-A9AC-A979-34E1-E6A594D3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853900" y="10744200"/>
          <a:ext cx="7772400" cy="18796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 P" refreshedDate="45883.010545486111" createdVersion="8" refreshedVersion="8" minRefreshableVersion="3" recordCount="73" xr:uid="{1123210C-E848-3B47-9B81-3182EC183B00}">
  <cacheSource type="worksheet">
    <worksheetSource ref="A1:N74" sheet="Data"/>
  </cacheSource>
  <cacheFields count="14">
    <cacheField name="Date" numFmtId="164">
      <sharedItems containsDate="1" containsMixedTypes="1" minDate="2021-12-31T00:00:00" maxDate="2025-06-13T00:00:00"/>
    </cacheField>
    <cacheField name="% Treasuries" numFmtId="10">
      <sharedItems containsSemiMixedTypes="0" containsString="0" containsNumber="1" minValue="0" maxValue="0.98678452868799948"/>
    </cacheField>
    <cacheField name="% Repos" numFmtId="10">
      <sharedItems containsSemiMixedTypes="0" containsString="0" containsNumber="1" minValue="0" maxValue="0.79107682120027223"/>
    </cacheField>
    <cacheField name="% Cash" numFmtId="10">
      <sharedItems containsSemiMixedTypes="0" containsString="0" containsNumber="1" minValue="0" maxValue="0.19447029577310207"/>
    </cacheField>
    <cacheField name="3M Treasury Yield (annual %)" numFmtId="10">
      <sharedItems containsString="0" containsBlank="1" containsNumber="1" minValue="1.5E-3" maxValue="5.6000000000000001E-2"/>
    </cacheField>
    <cacheField name="SOFR (annual %)" numFmtId="10">
      <sharedItems containsString="0" containsBlank="1" containsNumber="1" minValue="4.0000000000000002E-4" maxValue="5.3900000000000003E-2"/>
    </cacheField>
    <cacheField name="Cash Yield (annual %)" numFmtId="10">
      <sharedItems containsSemiMixedTypes="0" containsString="0" containsNumber="1" containsInteger="1" minValue="0" maxValue="0"/>
    </cacheField>
    <cacheField name="Avg USDC Float ($)" numFmtId="44">
      <sharedItems containsSemiMixedTypes="0" containsString="0" containsNumber="1" minValue="24250603062" maxValue="61356815568"/>
    </cacheField>
    <cacheField name="Weighted Yield %" numFmtId="10">
      <sharedItems containsString="0" containsBlank="1" containsNumber="1" minValue="0" maxValue="5.2859570034573422E-2" count="68">
        <n v="3.9082558888617037E-2"/>
        <n v="3.6872803609575303E-2"/>
        <n v="3.8404954437683048E-2"/>
        <n v="3.9021181156275189E-2"/>
        <n v="4.0458054203745333E-2"/>
        <n v="3.9006504528614795E-2"/>
        <n v="4.0605399693437724E-2"/>
        <n v="3.8817661988967175E-2"/>
        <n v="3.834488778303706E-2"/>
        <n v="3.9098038880787556E-2"/>
        <n v="3.9632478773656762E-2"/>
        <n v="3.5459970019998316E-2"/>
        <n v="3.7130263900236264E-2"/>
        <n v="3.7802632999993632E-2"/>
        <n v="3.7570014049752729E-2"/>
        <n v="4.0083908982819411E-2"/>
        <n v="4.1146645324039804E-2"/>
        <n v="4.2398183458834213E-2"/>
        <n v="4.2644409885923384E-2"/>
        <n v="4.0956955408746706E-2"/>
        <n v="4.5794411625840109E-2"/>
        <n v="4.5899251430923271E-2"/>
        <n v="4.6599039326260375E-2"/>
        <n v="4.6526884754977633E-2"/>
        <n v="4.6516250303638491E-2"/>
        <n v="4.7670444395540412E-2"/>
        <n v="4.6862570825590796E-2"/>
        <n v="4.8108995534810392E-2"/>
        <n v="4.7305416456924543E-2"/>
        <n v="4.8219643951326135E-2"/>
        <n v="4.5490667319960418E-2"/>
        <n v="4.4975384505011193E-2"/>
        <n v="4.5847538600713313E-2"/>
        <n v="4.7106691479193101E-2"/>
        <n v="4.5552921878100325E-2"/>
        <n v="4.5591612305944981E-2"/>
        <n v="4.6631073905812039E-2"/>
        <n v="4.9323931341197072E-2"/>
        <n v="4.8131336150828971E-2"/>
        <n v="4.7841010040063262E-2"/>
        <n v="4.9702848354748627E-2"/>
        <n v="4.9723172220333248E-2"/>
        <n v="4.9463818080501987E-2"/>
        <n v="5.2859570034573422E-2"/>
        <n v="4.8244532871289922E-2"/>
        <n v="5.0870513752889077E-2"/>
        <n v="4.7334104152494998E-2"/>
        <n v="4.7500965788362909E-2"/>
        <n v="4.4966597737736237E-2"/>
        <n v="3.9910678427734853E-2"/>
        <n v="4.018670251697383E-2"/>
        <n v="4.3871444977635787E-2"/>
        <n v="5.0029975604481573E-2"/>
        <n v="4.2377927222517854E-2"/>
        <n v="4.2540363026572305E-2"/>
        <n v="4.2757674328940669E-2"/>
        <n v="3.5738859952814304E-2"/>
        <n v="4.159143726120916E-2"/>
        <n v="3.7359430480177855E-2"/>
        <n v="3.6623993362024161E-2"/>
        <n v="2.300460268427245E-2"/>
        <n v="1.2701751308947934E-2"/>
        <n v="3.1593354406744267E-2"/>
        <n v="2.5951958707790022E-2"/>
        <n v="2.25679233868591E-2"/>
        <n v="1.7843558152571239E-2"/>
        <n v="0"/>
        <m/>
      </sharedItems>
    </cacheField>
    <cacheField name="Interest Income (period, $)" numFmtId="0">
      <sharedItems containsString="0" containsBlank="1" containsNumber="1" minValue="0" maxValue="2471664267.9450073"/>
    </cacheField>
    <cacheField name="Annualized Interest Income ($)" numFmtId="44">
      <sharedItems containsString="0" containsBlank="1" containsNumber="1" minValue="0" maxValue="29659971215.340088"/>
    </cacheField>
    <cacheField name="Annualization Factor (x)" numFmtId="0">
      <sharedItems containsString="0" containsBlank="1" containsNumber="1" containsInteger="1" minValue="12" maxValue="12"/>
    </cacheField>
    <cacheField name="Weighted Yield with Repo Spread Adjustment (+.0067)" numFmtId="0">
      <sharedItems containsString="0" containsBlank="1" containsNumber="1" minValue="0" maxValue="5.65478962927203E-2"/>
    </cacheField>
    <cacheField name="Month - Year" numFmtId="0">
      <sharedItems containsBlank="1" count="43">
        <s v="2025-06"/>
        <s v="2025-05"/>
        <s v="2025-04"/>
        <s v="2025-03"/>
        <s v="2025-02"/>
        <s v="2025-01"/>
        <s v="2024-12"/>
        <s v="2024-11"/>
        <s v="2024-10"/>
        <s v="2024-09"/>
        <s v="2024-08"/>
        <s v="2024-07"/>
        <s v="2024-06"/>
        <s v="2024-05"/>
        <s v="2024-04"/>
        <s v="2024-03"/>
        <s v="2024-02"/>
        <s v="2024-01"/>
        <s v="2023-12"/>
        <s v="2023-11"/>
        <s v="2023-10"/>
        <s v="2023-09"/>
        <s v="2023-08"/>
        <s v="2023-07"/>
        <s v="2023-06"/>
        <s v="2023-05"/>
        <s v="2023-04"/>
        <s v="2023-03"/>
        <s v="2023-02"/>
        <s v="2023-01"/>
        <s v="2022-12"/>
        <s v="2022-11"/>
        <s v="2022-10"/>
        <s v="2022-09"/>
        <s v="2022-08"/>
        <s v="2022-07"/>
        <s v="2022-06"/>
        <s v="2022-05"/>
        <s v="2022-04"/>
        <s v="2022-03"/>
        <s v="2022-02"/>
        <s v="2022-0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 P" refreshedDate="45883.035080439811" createdVersion="8" refreshedVersion="8" minRefreshableVersion="3" recordCount="36" xr:uid="{6426B402-A93B-7F44-96D6-822F7FCA5D29}">
  <cacheSource type="worksheet">
    <worksheetSource ref="Q1:S37" sheet="Data"/>
  </cacheSource>
  <cacheFields count="3">
    <cacheField name="Year" numFmtId="0">
      <sharedItems count="4">
        <s v="2022"/>
        <s v="2023"/>
        <s v="2024"/>
        <s v="2025"/>
      </sharedItems>
    </cacheField>
    <cacheField name="Average of Weighted Yield %" numFmtId="0">
      <sharedItems containsSemiMixedTypes="0" containsString="0" containsNumber="1" minValue="1.2701751308947934E-2" maxValue="5.1161694057537704E-2"/>
    </cacheField>
    <cacheField name="Average of USDC Float" numFmtId="0">
      <sharedItems containsSemiMixedTypes="0" containsString="0" containsNumber="1" minValue="24298336691.25" maxValue="612244598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">
  <r>
    <s v="2025-06-30"/>
    <n v="0.44039849186650637"/>
    <n v="0.44083023703634733"/>
    <n v="1.6354795898070294E-2"/>
    <n v="4.4200000000000003E-2"/>
    <n v="4.4499999999999998E-2"/>
    <n v="0"/>
    <n v="61133937583.5"/>
    <x v="0"/>
    <n v="2389270715.7001772"/>
    <n v="28671248588.402126"/>
    <n v="12"/>
    <n v="4.2036121476760564E-2"/>
    <x v="0"/>
  </r>
  <r>
    <d v="2025-06-12T00:00:00"/>
    <n v="0.40729260558869818"/>
    <n v="0.44089884211576735"/>
    <n v="1.640351886431762E-2"/>
    <n v="4.4200000000000003E-2"/>
    <n v="4.2799999999999998E-2"/>
    <n v="0"/>
    <n v="60909341656"/>
    <x v="1"/>
    <n v="2245898192.8702121"/>
    <n v="26950778314.442543"/>
    <n v="12"/>
    <n v="3.9826825851750944E-2"/>
    <x v="0"/>
  </r>
  <r>
    <d v="2025-05-30T00:00:00"/>
    <n v="0.4650244819697269"/>
    <n v="0.41677901204144724"/>
    <n v="1.6480545299399414E-2"/>
    <n v="4.36E-2"/>
    <n v="4.3499999999999997E-2"/>
    <n v="0"/>
    <n v="61092104078"/>
    <x v="2"/>
    <n v="2346239473.6177807"/>
    <n v="28154873683.413368"/>
    <n v="12"/>
    <n v="4.1197373818360743E-2"/>
    <x v="1"/>
  </r>
  <r>
    <d v="2025-05-27T00:00:00"/>
    <n v="0.46758190879280292"/>
    <n v="0.43235753904661212"/>
    <n v="1.6300960425523214E-2"/>
    <n v="4.36E-2"/>
    <n v="4.3099999999999999E-2"/>
    <n v="0"/>
    <n v="61356815568"/>
    <x v="3"/>
    <n v="2394215415.4510937"/>
    <n v="28730584985.413124"/>
    <n v="12"/>
    <n v="4.1917976667887491E-2"/>
    <x v="1"/>
  </r>
  <r>
    <d v="2025-04-30T00:00:00"/>
    <n v="0.41448663223858173"/>
    <n v="0.51138847371969609"/>
    <n v="1.6333277501387775E-2"/>
    <n v="4.3200000000000002E-2"/>
    <n v="4.41E-2"/>
    <n v="0"/>
    <n v="61092020281"/>
    <x v="4"/>
    <n v="2471664267.9450073"/>
    <n v="29659971215.340088"/>
    <n v="12"/>
    <n v="4.3884356977667294E-2"/>
    <x v="2"/>
  </r>
  <r>
    <d v="2025-04-03T00:00:00"/>
    <n v="0.39496191582254525"/>
    <n v="0.49986673724557718"/>
    <n v="1.645241547032622E-2"/>
    <n v="4.3200000000000002E-2"/>
    <n v="4.3900000000000002E-2"/>
    <n v="0"/>
    <n v="60373525323"/>
    <x v="5"/>
    <n v="2354960188.9200397"/>
    <n v="28259522267.040474"/>
    <n v="12"/>
    <n v="4.235561166816016E-2"/>
    <x v="2"/>
  </r>
  <r>
    <d v="2025-03-31T00:00:00"/>
    <n v="0.41409517330360873"/>
    <n v="0.51323512861816556"/>
    <n v="1.6724485811451563E-2"/>
    <n v="4.3400000000000001E-2"/>
    <n v="4.41E-2"/>
    <n v="0"/>
    <n v="59529232159"/>
    <x v="6"/>
    <n v="2417208265.2596416"/>
    <n v="29006499183.1157"/>
    <n v="12"/>
    <n v="4.4044075055179432E-2"/>
    <x v="3"/>
  </r>
  <r>
    <d v="2025-03-19T00:00:00"/>
    <n v="0.37567322676321002"/>
    <n v="0.52478890320381966"/>
    <n v="1.6919948657153221E-2"/>
    <n v="4.3400000000000001E-2"/>
    <n v="4.2900000000000001E-2"/>
    <n v="0"/>
    <n v="57683505576.5"/>
    <x v="7"/>
    <n v="2239138821.8072801"/>
    <n v="26869665861.687363"/>
    <n v="12"/>
    <n v="4.2333747640432767E-2"/>
    <x v="3"/>
  </r>
  <r>
    <d v="2025-02-28T00:00:00"/>
    <n v="0.39125823701477858"/>
    <n v="0.48754911435756604"/>
    <n v="1.7812436473582004E-2"/>
    <n v="4.3299999999999998E-2"/>
    <n v="4.3900000000000002E-2"/>
    <n v="0"/>
    <n v="55615656459.5"/>
    <x v="8"/>
    <n v="2132576105.9194677"/>
    <n v="25590913271.033611"/>
    <n v="12"/>
    <n v="4.1611466849232753E-2"/>
    <x v="4"/>
  </r>
  <r>
    <d v="2025-02-04T00:00:00"/>
    <n v="0.38781352015062398"/>
    <n v="0.51514349788142122"/>
    <n v="1.8193633393203994E-2"/>
    <n v="4.3299999999999998E-2"/>
    <n v="4.3299999999999998E-2"/>
    <n v="0"/>
    <n v="54082967048.5"/>
    <x v="9"/>
    <n v="2114537948.4506052"/>
    <n v="25374455381.407261"/>
    <n v="12"/>
    <n v="4.2549500316593075E-2"/>
    <x v="4"/>
  </r>
  <r>
    <d v="2025-01-31T00:00:00"/>
    <n v="0.39039778381492296"/>
    <n v="0.51801860630340435"/>
    <n v="1.8846251341928355E-2"/>
    <n v="4.3400000000000001E-2"/>
    <n v="4.3799999999999999E-2"/>
    <n v="0"/>
    <n v="49484248432"/>
    <x v="10"/>
    <n v="1961183425.611598"/>
    <n v="23534201107.339176"/>
    <n v="12"/>
    <n v="4.3103203435889574E-2"/>
    <x v="5"/>
  </r>
  <r>
    <d v="2025-01-06T00:00:00"/>
    <n v="0.25983316870564288"/>
    <n v="0.56635153391506821"/>
    <n v="2.1840054797994318E-2"/>
    <n v="4.3400000000000001E-2"/>
    <n v="4.2700000000000002E-2"/>
    <n v="0"/>
    <n v="44803178491"/>
    <x v="11"/>
    <n v="1588719366.0914934"/>
    <n v="19064632393.097919"/>
    <n v="12"/>
    <n v="3.9254525297229267E-2"/>
    <x v="5"/>
  </r>
  <r>
    <d v="2024-12-31T00:00:00"/>
    <n v="0.33667888018807435"/>
    <n v="0.49777418841825832"/>
    <n v="2.2904961160298078E-2"/>
    <n v="4.3900000000000002E-2"/>
    <n v="4.4900000000000002E-2"/>
    <n v="0"/>
    <n v="42226853984.5"/>
    <x v="12"/>
    <n v="1567894232.1212282"/>
    <n v="18814730785.454739"/>
    <n v="12"/>
    <n v="4.0465350962638591E-2"/>
    <x v="6"/>
  </r>
  <r>
    <d v="2024-12-09T00:00:00"/>
    <n v="0.38162204669286554"/>
    <n v="0.45463121274679991"/>
    <n v="2.4605817751361225E-2"/>
    <n v="4.3900000000000002E-2"/>
    <n v="4.6300000000000001E-2"/>
    <n v="0"/>
    <n v="40166964065"/>
    <x v="13"/>
    <n v="1518417001.2731273"/>
    <n v="18221004015.277527"/>
    <n v="12"/>
    <n v="4.0848662125397187E-2"/>
    <x v="6"/>
  </r>
  <r>
    <d v="2024-11-29T00:00:00"/>
    <n v="0.37188529681970089"/>
    <n v="0.44420290493861747"/>
    <n v="2.5222659677712391E-2"/>
    <n v="4.6199999999999998E-2"/>
    <n v="4.5900000000000003E-2"/>
    <n v="0"/>
    <n v="39574738395.5"/>
    <x v="14"/>
    <n v="1486823477.5342238"/>
    <n v="17841881730.410686"/>
    <n v="12"/>
    <n v="4.0546173512841462E-2"/>
    <x v="7"/>
  </r>
  <r>
    <d v="2024-11-27T00:00:00"/>
    <n v="0.38293922855449131"/>
    <n v="0.4899806701006984"/>
    <n v="2.5345590711392498E-2"/>
    <n v="4.6199999999999998E-2"/>
    <n v="4.5699999999999998E-2"/>
    <n v="0"/>
    <n v="37042821207.5"/>
    <x v="15"/>
    <n v="1484821073.7482827"/>
    <n v="17817852884.979393"/>
    <n v="12"/>
    <n v="4.3366779472494094E-2"/>
    <x v="7"/>
  </r>
  <r>
    <d v="2024-10-31T00:00:00"/>
    <n v="0.3065341246524983"/>
    <n v="0.54445376817228341"/>
    <n v="2.8922114354590481E-2"/>
    <n v="4.7199999999999999E-2"/>
    <n v="4.9000000000000002E-2"/>
    <n v="0"/>
    <n v="34966380691.5"/>
    <x v="16"/>
    <n v="1438749264.5785041"/>
    <n v="17264991174.942047"/>
    <n v="12"/>
    <n v="4.4794485570794101E-2"/>
    <x v="8"/>
  </r>
  <r>
    <d v="2024-10-07T00:00:00"/>
    <n v="0.24277803378630211"/>
    <n v="0.64056025391554361"/>
    <n v="2.831653929278323E-2"/>
    <n v="4.7199999999999999E-2"/>
    <n v="4.8300000000000003E-2"/>
    <n v="0"/>
    <n v="35364270326.5"/>
    <x v="17"/>
    <n v="1499380821.1907539"/>
    <n v="17992569854.289047"/>
    <n v="12"/>
    <n v="4.6689937160068362E-2"/>
    <x v="8"/>
  </r>
  <r>
    <d v="2024-09-30T00:00:00"/>
    <n v="0.22681101190403899"/>
    <n v="0.63478443750493274"/>
    <n v="2.8283137020260106E-2"/>
    <n v="4.9200000000000001E-2"/>
    <n v="4.9599999999999998E-2"/>
    <n v="0"/>
    <n v="35594658399"/>
    <x v="18"/>
    <n v="1517913202.5163815"/>
    <n v="18214958430.196579"/>
    <n v="12"/>
    <n v="4.6897465617206424E-2"/>
    <x v="9"/>
  </r>
  <r>
    <d v="2024-09-20T00:00:00"/>
    <n v="0.24600529076860475"/>
    <n v="0.59738085099236748"/>
    <n v="2.7950604597018574E-2"/>
    <n v="4.9200000000000001E-2"/>
    <n v="4.8300000000000003E-2"/>
    <n v="0"/>
    <n v="35182381125.5"/>
    <x v="19"/>
    <n v="1440963214.9306352"/>
    <n v="17291558579.167622"/>
    <n v="12"/>
    <n v="4.4959407110395568E-2"/>
    <x v="9"/>
  </r>
  <r>
    <d v="2024-08-30T00:00:00"/>
    <n v="0.24920954160807834"/>
    <n v="0.61252454737992401"/>
    <n v="2.8940582712989757E-2"/>
    <n v="5.2999999999999999E-2"/>
    <n v="5.3199999999999997E-2"/>
    <n v="0"/>
    <n v="34582706340"/>
    <x v="20"/>
    <n v="1583694689.2695105"/>
    <n v="19004336271.234127"/>
    <n v="12"/>
    <n v="4.9898326093285594E-2"/>
    <x v="10"/>
  </r>
  <r>
    <d v="2024-08-29T00:00:00"/>
    <n v="0.24995401954618449"/>
    <n v="0.61260203367683852"/>
    <n v="2.8922104054632088E-2"/>
    <n v="5.2999999999999999E-2"/>
    <n v="5.33E-2"/>
    <n v="0"/>
    <n v="33852389413.5"/>
    <x v="21"/>
    <n v="1553799333.2277617"/>
    <n v="18645591998.733139"/>
    <n v="12"/>
    <n v="5.0003685056558084E-2"/>
    <x v="10"/>
  </r>
  <r>
    <d v="2024-07-31T00:00:00"/>
    <n v="0.26721007767445842"/>
    <n v="0.59645970461965203"/>
    <n v="3.0229798811502062E-2"/>
    <n v="5.4300000000000001E-2"/>
    <n v="5.3800000000000001E-2"/>
    <n v="0"/>
    <n v="33387678032"/>
    <x v="22"/>
    <n v="1555833721.6256876"/>
    <n v="18670004659.508251"/>
    <n v="12"/>
    <n v="5.0595319347212044E-2"/>
    <x v="11"/>
  </r>
  <r>
    <d v="2024-07-18T00:00:00"/>
    <n v="0.29099385868367605"/>
    <n v="0.57539172712460718"/>
    <n v="2.9726741714118543E-2"/>
    <n v="5.4300000000000001E-2"/>
    <n v="5.3400000000000003E-2"/>
    <n v="0"/>
    <n v="32907126905.5"/>
    <x v="23"/>
    <n v="1531066101.1496222"/>
    <n v="18372793213.795467"/>
    <n v="12"/>
    <n v="5.0382009326712503E-2"/>
    <x v="11"/>
  </r>
  <r>
    <d v="2024-06-28T00:00:00"/>
    <n v="0.33217016130661903"/>
    <n v="0.52933723106273511"/>
    <n v="3.1114416817781283E-2"/>
    <n v="5.5100000000000003E-2"/>
    <n v="5.33E-2"/>
    <n v="0"/>
    <n v="32114770850.5"/>
    <x v="24"/>
    <n v="1493858719.3258512"/>
    <n v="17926304631.910213"/>
    <n v="12"/>
    <n v="5.0062809751758822E-2"/>
    <x v="12"/>
  </r>
  <r>
    <d v="2024-06-10T00:00:00"/>
    <n v="0.34933945079909079"/>
    <n v="0.5342451251223781"/>
    <n v="3.1223332755463129E-2"/>
    <n v="5.5100000000000003E-2"/>
    <n v="5.3199999999999997E-2"/>
    <n v="0"/>
    <n v="32148057756.5"/>
    <x v="25"/>
    <n v="1532512199.7058549"/>
    <n v="18390146396.470261"/>
    <n v="12"/>
    <n v="5.1249886733860349E-2"/>
    <x v="12"/>
  </r>
  <r>
    <d v="2024-05-31T00:00:00"/>
    <n v="0.35964062422714899"/>
    <n v="0.50985379668143194"/>
    <n v="3.1060583640557974E-2"/>
    <n v="5.4600000000000003E-2"/>
    <n v="5.3400000000000003E-2"/>
    <n v="0"/>
    <n v="32727296260.5"/>
    <x v="26"/>
    <n v="1533685238.9377742"/>
    <n v="18404222867.253288"/>
    <n v="12"/>
    <n v="5.027859126335639E-2"/>
    <x v="13"/>
  </r>
  <r>
    <d v="2024-05-07T00:00:00"/>
    <n v="0.35553849779241731"/>
    <n v="0.540425490684452"/>
    <n v="3.0114685727914089E-2"/>
    <n v="5.4600000000000003E-2"/>
    <n v="5.3100000000000001E-2"/>
    <n v="0"/>
    <n v="33096721816.5"/>
    <x v="27"/>
    <n v="1592250042.0868602"/>
    <n v="19107000505.04232"/>
    <n v="12"/>
    <n v="5.1729846322396217E-2"/>
    <x v="13"/>
  </r>
  <r>
    <d v="2024-04-30T00:00:00"/>
    <n v="0.31372028430266929"/>
    <n v="0.56627402604605492"/>
    <n v="3.0385747390149816E-2"/>
    <n v="5.4399999999999997E-2"/>
    <n v="5.3400000000000003E-2"/>
    <n v="0"/>
    <n v="32934649166.5"/>
    <x v="28"/>
    <n v="1557987294.6839852"/>
    <n v="18695847536.207825"/>
    <n v="12"/>
    <n v="5.1099452431433115E-2"/>
    <x v="14"/>
  </r>
  <r>
    <d v="2024-04-05T00:00:00"/>
    <n v="0.39061659175819541"/>
    <n v="0.50695679247519376"/>
    <n v="3.0420691138818748E-2"/>
    <n v="5.4399999999999997E-2"/>
    <n v="5.3199999999999997E-2"/>
    <n v="0"/>
    <n v="32607873384.5"/>
    <x v="29"/>
    <n v="1572340044.6105139"/>
    <n v="18868080535.326168"/>
    <n v="12"/>
    <n v="5.1616254460909936E-2"/>
    <x v="14"/>
  </r>
  <r>
    <d v="2024-03-29T00:00:00"/>
    <n v="0.35213089694125055"/>
    <n v="0.49118178384408262"/>
    <n v="3.0995859904979387E-2"/>
    <n v="5.4699999999999999E-2"/>
    <n v="5.3400000000000003E-2"/>
    <n v="0"/>
    <n v="32307359329"/>
    <x v="30"/>
    <n v="1469683335.2219586"/>
    <n v="17636200022.663506"/>
    <n v="12"/>
    <n v="4.878158527171577E-2"/>
    <x v="15"/>
  </r>
  <r>
    <d v="2024-03-25T00:00:00"/>
    <n v="0.33503116996774612"/>
    <n v="0.5018677873404046"/>
    <n v="3.0998805003311442E-2"/>
    <n v="5.4699999999999999E-2"/>
    <n v="5.3100000000000001E-2"/>
    <n v="0"/>
    <n v="30461617317"/>
    <x v="31"/>
    <n v="1370022951.4765825"/>
    <n v="16440275417.71899"/>
    <n v="12"/>
    <n v="4.8337898680191907E-2"/>
    <x v="15"/>
  </r>
  <r>
    <d v="2024-02-29T00:00:00"/>
    <n v="0.34823332731728029"/>
    <n v="0.50570762395964786"/>
    <n v="3.493529741937082E-2"/>
    <n v="5.4399999999999997E-2"/>
    <n v="5.3199999999999997E-2"/>
    <n v="0"/>
    <n v="28372831217"/>
    <x v="32"/>
    <n v="1300824474.4329312"/>
    <n v="15609893693.195175"/>
    <n v="12"/>
    <n v="4.9235779681242951E-2"/>
    <x v="16"/>
  </r>
  <r>
    <d v="2024-02-23T00:00:00"/>
    <n v="0.32940004662515399"/>
    <n v="0.54966721172852584"/>
    <n v="3.5545538698401012E-2"/>
    <n v="5.4399999999999997E-2"/>
    <n v="5.3100000000000001E-2"/>
    <n v="0"/>
    <n v="27400989195"/>
    <x v="33"/>
    <n v="1290769944.2335687"/>
    <n v="15489239330.802824"/>
    <n v="12"/>
    <n v="5.0789461797774223E-2"/>
    <x v="16"/>
  </r>
  <r>
    <d v="2024-01-31T00:00:00"/>
    <n v="0.27620066321467762"/>
    <n v="0.57330800249812774"/>
    <n v="3.7539725986896123E-2"/>
    <n v="5.45E-2"/>
    <n v="5.3199999999999997E-2"/>
    <n v="0"/>
    <n v="25953655133.5"/>
    <x v="34"/>
    <n v="1182264824.747483"/>
    <n v="14187177896.969795"/>
    <n v="12"/>
    <n v="4.9394085494837779E-2"/>
    <x v="17"/>
  </r>
  <r>
    <d v="2024-01-11T00:00:00"/>
    <n v="0.27410789003347624"/>
    <n v="0.57726426175368217"/>
    <n v="3.9633409825480775E-2"/>
    <n v="5.45E-2"/>
    <n v="5.3100000000000001E-2"/>
    <n v="0"/>
    <n v="24904660734.5"/>
    <x v="35"/>
    <n v="1135443636.8184149"/>
    <n v="13625323641.82098"/>
    <n v="12"/>
    <n v="4.9459282859694656E-2"/>
    <x v="17"/>
  </r>
  <r>
    <d v="2023-12-29T00:00:00"/>
    <n v="0.26817089099135205"/>
    <n v="0.59558694118740685"/>
    <n v="4.0653071432812764E-2"/>
    <n v="5.4399999999999997E-2"/>
    <n v="5.3800000000000001E-2"/>
    <n v="0"/>
    <n v="24439615985"/>
    <x v="36"/>
    <n v="1139645539.2262003"/>
    <n v="13675746470.714405"/>
    <n v="12"/>
    <n v="5.0621506411767665E-2"/>
    <x v="18"/>
  </r>
  <r>
    <d v="2023-12-06T00:00:00"/>
    <n v="0.29543826330699696"/>
    <n v="0.62503928228000827"/>
    <n v="4.1141029911603809E-2"/>
    <n v="5.4399999999999997E-2"/>
    <n v="5.3199999999999997E-2"/>
    <n v="0"/>
    <n v="24357603769"/>
    <x v="37"/>
    <n v="1201412775.9382391"/>
    <n v="14416953311.258869"/>
    <n v="12"/>
    <n v="5.3511694532473127E-2"/>
    <x v="18"/>
  </r>
  <r>
    <d v="2023-11-30T00:00:00"/>
    <n v="0.29218825630694961"/>
    <n v="0.59373922825019199"/>
    <n v="4.0916054403720981E-2"/>
    <n v="5.5199999999999999E-2"/>
    <n v="5.3900000000000003E-2"/>
    <n v="0"/>
    <n v="24250603062"/>
    <x v="38"/>
    <n v="1167213927.8374443"/>
    <n v="14006567134.049332"/>
    <n v="12"/>
    <n v="5.2109388980105253E-2"/>
    <x v="19"/>
  </r>
  <r>
    <d v="2023-11-16T00:00:00"/>
    <n v="0.29124445419758549"/>
    <n v="0.59707361218715316"/>
    <n v="4.150064470515441E-2"/>
    <n v="5.5199999999999999E-2"/>
    <n v="5.3199999999999997E-2"/>
    <n v="0"/>
    <n v="24346070320.5"/>
    <x v="39"/>
    <n v="1164740594.6391268"/>
    <n v="13976887135.669521"/>
    <n v="12"/>
    <n v="5.1841403241717196E-2"/>
    <x v="19"/>
  </r>
  <r>
    <d v="2023-10-31T00:00:00"/>
    <n v="0.32725074196104914"/>
    <n v="0.58648237018560523"/>
    <n v="4.0616301237423102E-2"/>
    <n v="5.6000000000000001E-2"/>
    <n v="5.3499999999999999E-2"/>
    <n v="0"/>
    <n v="24913362399.5"/>
    <x v="40"/>
    <n v="1238265073.3492448"/>
    <n v="14859180880.190937"/>
    <n v="12"/>
    <n v="5.3632280234992183E-2"/>
    <x v="20"/>
  </r>
  <r>
    <d v="2023-10-05T00:00:00"/>
    <n v="0.33117141978194026"/>
    <n v="0.58714826200648951"/>
    <n v="3.9630589636048701E-2"/>
    <n v="5.6000000000000001E-2"/>
    <n v="5.3100000000000001E-2"/>
    <n v="0"/>
    <n v="25065791499.5"/>
    <x v="41"/>
    <n v="1246350667.5686038"/>
    <n v="14956208010.823246"/>
    <n v="12"/>
    <n v="5.3657065575776729E-2"/>
    <x v="20"/>
  </r>
  <r>
    <d v="2023-09-29T00:00:00"/>
    <n v="0.35947337783389471"/>
    <n v="0.55512426126059211"/>
    <n v="4.0093159220859334E-2"/>
    <n v="5.5599999999999997E-2"/>
    <n v="5.3100000000000001E-2"/>
    <n v="0"/>
    <n v="25516737213.5"/>
    <x v="42"/>
    <n v="1262155247.5365391"/>
    <n v="15145862970.438469"/>
    <n v="12"/>
    <n v="5.3183150630947959E-2"/>
    <x v="21"/>
  </r>
  <r>
    <d v="2023-09-14T00:00:00"/>
    <n v="0.4249677733384582"/>
    <n v="0.55049645643983325"/>
    <n v="3.8264828303223676E-2"/>
    <n v="5.5599999999999997E-2"/>
    <n v="5.3100000000000001E-2"/>
    <n v="0"/>
    <n v="26106758274.5"/>
    <x v="43"/>
    <n v="1379992017.3866119"/>
    <n v="16559904208.639343"/>
    <n v="12"/>
    <n v="5.65478962927203E-2"/>
    <x v="21"/>
  </r>
  <r>
    <d v="2023-08-31T00:00:00"/>
    <n v="0.3380210266861931"/>
    <n v="0.55462455343761929"/>
    <n v="3.8293985702046368E-2"/>
    <n v="5.5599999999999997E-2"/>
    <n v="5.3100000000000001E-2"/>
    <n v="0"/>
    <n v="26109379511.5"/>
    <x v="44"/>
    <n v="1259634818.0915453"/>
    <n v="15115617817.098545"/>
    <n v="12"/>
    <n v="5.1960517379321974E-2"/>
    <x v="22"/>
  </r>
  <r>
    <d v="2023-08-07T00:00:00"/>
    <n v="0.32522815933701527"/>
    <n v="0.61863826591983073"/>
    <n v="3.8251016762569735E-2"/>
    <n v="5.5599999999999997E-2"/>
    <n v="5.2999999999999999E-2"/>
    <n v="0"/>
    <n v="26236456560.5"/>
    <x v="45"/>
    <n v="1334662024.287992"/>
    <n v="16015944291.455904"/>
    <n v="12"/>
    <n v="5.5015390134551936E-2"/>
    <x v="22"/>
  </r>
  <r>
    <d v="2023-07-31T00:00:00"/>
    <n v="0.22488572991872952"/>
    <n v="0.65890541581839457"/>
    <n v="3.7945338827363125E-2"/>
    <n v="5.4899999999999997E-2"/>
    <n v="5.3100000000000001E-2"/>
    <n v="0"/>
    <n v="26516037893"/>
    <x v="46"/>
    <n v="1255112899.3387661"/>
    <n v="15061354792.065193"/>
    <n v="12"/>
    <n v="5.1748770438478239E-2"/>
    <x v="23"/>
  </r>
  <r>
    <d v="2023-07-24T00:00:00"/>
    <n v="0.31447310748455848"/>
    <n v="0.59874043935565646"/>
    <n v="3.7446397870865025E-2"/>
    <n v="5.4899999999999997E-2"/>
    <n v="5.0500000000000003E-2"/>
    <n v="0"/>
    <n v="27004536213"/>
    <x v="47"/>
    <n v="1282741550.7843204"/>
    <n v="15392898609.411844"/>
    <n v="12"/>
    <n v="5.1512526732045816E-2"/>
    <x v="23"/>
  </r>
  <r>
    <d v="2023-06-30T00:00:00"/>
    <n v="0.1979880545381433"/>
    <n v="0.67260599571255153"/>
    <n v="3.6599865315175673E-2"/>
    <n v="5.4199999999999998E-2"/>
    <n v="5.0900000000000001E-2"/>
    <n v="0"/>
    <n v="28142710104.5"/>
    <x v="48"/>
    <n v="1265481924.5187764"/>
    <n v="15185783094.225317"/>
    <n v="12"/>
    <n v="4.9473057909010333E-2"/>
    <x v="24"/>
  </r>
  <r>
    <d v="2023-06-02T00:00:00"/>
    <n v="0"/>
    <n v="0.78719286839713709"/>
    <n v="6.9104661438792611E-2"/>
    <n v="5.4199999999999998E-2"/>
    <n v="5.0700000000000002E-2"/>
    <n v="0"/>
    <n v="28885605896"/>
    <x v="49"/>
    <n v="1152844128.1055379"/>
    <n v="13834129537.266455"/>
    <n v="12"/>
    <n v="4.5184870645995669E-2"/>
    <x v="24"/>
  </r>
  <r>
    <d v="2023-05-31T00:00:00"/>
    <n v="0"/>
    <n v="0.79107682120027223"/>
    <n v="6.9383855202489311E-2"/>
    <n v="5.3100000000000001E-2"/>
    <n v="5.0799999999999998E-2"/>
    <n v="0"/>
    <n v="29061681698.5"/>
    <x v="50"/>
    <n v="1167893157.0606022"/>
    <n v="14014717884.727226"/>
    <n v="12"/>
    <n v="4.5486917219015648E-2"/>
    <x v="25"/>
  </r>
  <r>
    <d v="2023-05-23T00:00:00"/>
    <n v="0.40094245487962199"/>
    <n v="0.44715644799065074"/>
    <n v="6.8252854681053021E-2"/>
    <n v="5.3100000000000001E-2"/>
    <n v="5.0500000000000003E-2"/>
    <n v="0"/>
    <n v="29873671406.5"/>
    <x v="51"/>
    <n v="1310601131.3902361"/>
    <n v="15727213576.682835"/>
    <n v="12"/>
    <n v="4.6867393179173156E-2"/>
    <x v="25"/>
  </r>
  <r>
    <d v="2023-04-28T00:00:00"/>
    <n v="0.98678452868799948"/>
    <n v="0"/>
    <n v="6.7955082100989245E-2"/>
    <n v="5.0700000000000002E-2"/>
    <n v="4.8099999999999997E-2"/>
    <n v="0"/>
    <n v="31158565135.5"/>
    <x v="52"/>
    <n v="1558862253.599715"/>
    <n v="18706347043.196579"/>
    <n v="12"/>
    <n v="5.0029975604481573E-2"/>
    <x v="26"/>
  </r>
  <r>
    <d v="2023-04-14T00:00:00"/>
    <n v="0.83585655271238368"/>
    <n v="0"/>
    <n v="3.1390332464189687E-2"/>
    <n v="5.0700000000000002E-2"/>
    <n v="4.8000000000000001E-2"/>
    <n v="0"/>
    <n v="32170807517.5"/>
    <x v="53"/>
    <n v="1363332139.6662452"/>
    <n v="16359985675.994942"/>
    <n v="12"/>
    <n v="4.2377927222517854E-2"/>
    <x v="26"/>
  </r>
  <r>
    <d v="2023-03-31T00:00:00"/>
    <n v="0.87531611165786638"/>
    <n v="0"/>
    <n v="1.5399983693108476E-2"/>
    <n v="4.8599999999999997E-2"/>
    <n v="4.87E-2"/>
    <n v="0"/>
    <n v="38131432696"/>
    <x v="54"/>
    <n v="1622124989.6111486"/>
    <n v="19465499875.333782"/>
    <n v="12"/>
    <n v="4.2540363026572305E-2"/>
    <x v="27"/>
  </r>
  <r>
    <d v="2023-03-06T00:00:00"/>
    <n v="0.87978753763252415"/>
    <n v="0"/>
    <n v="4.3626853188467041E-3"/>
    <n v="4.8599999999999997E-2"/>
    <n v="4.5499999999999999E-2"/>
    <n v="0"/>
    <n v="43074564406"/>
    <x v="55"/>
    <n v="1841768196.7327278"/>
    <n v="22101218360.792732"/>
    <n v="12"/>
    <n v="4.2757674328940669E-2"/>
    <x v="27"/>
  </r>
  <r>
    <d v="2023-02-28T00:00:00"/>
    <n v="0.74611398648881644"/>
    <n v="0"/>
    <n v="7.1212224991449571E-3"/>
    <n v="4.7899999999999998E-2"/>
    <n v="4.5499999999999999E-2"/>
    <n v="0"/>
    <n v="42006671812"/>
    <x v="56"/>
    <n v="1501270560.9729004"/>
    <n v="18015246731.674805"/>
    <n v="12"/>
    <n v="3.5738859952814304E-2"/>
    <x v="28"/>
  </r>
  <r>
    <d v="2023-02-09T00:00:00"/>
    <n v="0.86829722883526439"/>
    <n v="0"/>
    <n v="7.1815895218400498E-3"/>
    <n v="4.7899999999999998E-2"/>
    <n v="4.5499999999999999E-2"/>
    <n v="0"/>
    <n v="41948263212"/>
    <x v="57"/>
    <n v="1744688557.5985863"/>
    <n v="20936262691.183037"/>
    <n v="12"/>
    <n v="4.159143726120916E-2"/>
    <x v="28"/>
  </r>
  <r>
    <d v="2023-01-31T00:00:00"/>
    <n v="0.79657634286093515"/>
    <n v="0"/>
    <n v="1.2930649296009182E-3"/>
    <n v="4.6899999999999997E-2"/>
    <n v="4.3099999999999999E-2"/>
    <n v="0"/>
    <n v="42884185702"/>
    <x v="58"/>
    <n v="1602128754.4329062"/>
    <n v="19225545053.194874"/>
    <n v="12"/>
    <n v="3.7359430480177855E-2"/>
    <x v="29"/>
  </r>
  <r>
    <d v="2023-01-17T00:00:00"/>
    <n v="0.78089538085339372"/>
    <n v="0"/>
    <n v="1.2198043183878015E-3"/>
    <n v="4.6899999999999997E-2"/>
    <n v="4.3099999999999999E-2"/>
    <n v="0"/>
    <n v="44016930373"/>
    <x v="59"/>
    <n v="1612075765.7974317"/>
    <n v="19344909189.56918"/>
    <n v="12"/>
    <n v="3.6623993362024161E-2"/>
    <x v="29"/>
  </r>
  <r>
    <d v="2022-12-31T00:00:00"/>
    <n v="0.52762850193285438"/>
    <n v="0"/>
    <n v="1.0961511565129734E-3"/>
    <n v="4.36E-2"/>
    <n v="4.2999999999999997E-2"/>
    <n v="0"/>
    <n v="43896243301"/>
    <x v="60"/>
    <n v="1009815636.4716612"/>
    <n v="12117787637.659935"/>
    <n v="12"/>
    <n v="2.300460268427245E-2"/>
    <x v="30"/>
  </r>
  <r>
    <d v="2022-11-30T00:00:00"/>
    <n v="0.29402202104046143"/>
    <n v="0"/>
    <n v="1.0958241091459542E-3"/>
    <n v="4.3200000000000002E-2"/>
    <n v="3.8199999999999998E-2"/>
    <n v="0"/>
    <n v="43373452205.5"/>
    <x v="61"/>
    <n v="550918803.32480025"/>
    <n v="6611025639.897603"/>
    <n v="12"/>
    <n v="1.2701751308947934E-2"/>
    <x v="31"/>
  </r>
  <r>
    <d v="2022-10-31T00:00:00"/>
    <n v="0.81636574694429642"/>
    <n v="0"/>
    <n v="0.18421956980391879"/>
    <n v="3.8699999999999998E-2"/>
    <n v="3.0499999999999999E-2"/>
    <n v="0"/>
    <n v="45384890427.5"/>
    <x v="62"/>
    <n v="1433860927.9872627"/>
    <n v="17206331135.847153"/>
    <n v="12"/>
    <n v="3.1593354406744267E-2"/>
    <x v="32"/>
  </r>
  <r>
    <d v="2022-09-30T00:00:00"/>
    <n v="0.80596145055248514"/>
    <n v="0"/>
    <n v="0.19447029577310207"/>
    <n v="3.2199999999999999E-2"/>
    <n v="2.98E-2"/>
    <n v="0"/>
    <n v="49759937969.5"/>
    <x v="63"/>
    <n v="1291367855.4866569"/>
    <n v="15496414265.839882"/>
    <n v="12"/>
    <n v="2.5951958707790022E-2"/>
    <x v="33"/>
  </r>
  <r>
    <d v="2022-08-31T00:00:00"/>
    <n v="0.82970306569334928"/>
    <n v="0"/>
    <n v="0"/>
    <n v="2.7199999999999998E-2"/>
    <n v="2.29E-2"/>
    <n v="0"/>
    <n v="53373446754.5"/>
    <x v="64"/>
    <n v="1204527857.2481594"/>
    <n v="14454334286.977913"/>
    <n v="12"/>
    <n v="2.25679233868591E-2"/>
    <x v="34"/>
  </r>
  <r>
    <d v="2022-07-31T00:00:00"/>
    <n v="0.77580687619874955"/>
    <n v="0"/>
    <n v="0"/>
    <n v="2.3E-2"/>
    <n v="1.5299999999999999E-2"/>
    <n v="0"/>
    <n v="55029248995"/>
    <x v="65"/>
    <n v="981917604.53460491"/>
    <n v="11783011254.415258"/>
    <n v="12"/>
    <n v="1.7843558152571239E-2"/>
    <x v="35"/>
  </r>
  <r>
    <d v="2022-06-30T00:00:00"/>
    <n v="0"/>
    <n v="0"/>
    <n v="0"/>
    <n v="1.54E-2"/>
    <n v="1.5100000000000001E-2"/>
    <n v="0"/>
    <n v="54787828003"/>
    <x v="66"/>
    <n v="0"/>
    <n v="0"/>
    <n v="12"/>
    <n v="0"/>
    <x v="36"/>
  </r>
  <r>
    <d v="2022-05-31T00:00:00"/>
    <n v="0"/>
    <n v="0"/>
    <n v="0"/>
    <n v="9.9000000000000008E-3"/>
    <n v="7.7999999999999996E-3"/>
    <n v="0"/>
    <n v="51633050579.5"/>
    <x v="66"/>
    <n v="0"/>
    <n v="0"/>
    <n v="12"/>
    <n v="0"/>
    <x v="37"/>
  </r>
  <r>
    <d v="2022-04-30T00:00:00"/>
    <n v="0"/>
    <n v="0"/>
    <n v="0"/>
    <n v="7.6E-3"/>
    <n v="2.8E-3"/>
    <n v="0"/>
    <n v="50324330821"/>
    <x v="66"/>
    <n v="0"/>
    <n v="0"/>
    <n v="12"/>
    <n v="0"/>
    <x v="38"/>
  </r>
  <r>
    <d v="2022-03-31T00:00:00"/>
    <n v="0"/>
    <n v="0"/>
    <n v="0"/>
    <n v="4.4999999999999997E-3"/>
    <n v="2.7000000000000001E-3"/>
    <n v="0"/>
    <n v="52442703355.5"/>
    <x v="66"/>
    <n v="0"/>
    <n v="0"/>
    <n v="12"/>
    <n v="0"/>
    <x v="39"/>
  </r>
  <r>
    <d v="2022-02-28T00:00:00"/>
    <n v="0"/>
    <n v="0"/>
    <n v="0"/>
    <n v="3.0999999999999999E-3"/>
    <n v="5.0000000000000001E-4"/>
    <n v="0"/>
    <n v="51764164792.5"/>
    <x v="66"/>
    <n v="0"/>
    <n v="0"/>
    <n v="12"/>
    <n v="0"/>
    <x v="40"/>
  </r>
  <r>
    <d v="2022-01-31T00:00:00"/>
    <n v="0"/>
    <n v="0"/>
    <n v="0"/>
    <n v="1.5E-3"/>
    <n v="4.0000000000000002E-4"/>
    <n v="0"/>
    <n v="46223819714"/>
    <x v="66"/>
    <n v="0"/>
    <n v="0"/>
    <n v="12"/>
    <n v="0"/>
    <x v="41"/>
  </r>
  <r>
    <d v="2021-12-31T00:00:00"/>
    <n v="0"/>
    <n v="0"/>
    <n v="0"/>
    <m/>
    <m/>
    <n v="0"/>
    <n v="40580150934"/>
    <x v="67"/>
    <m/>
    <m/>
    <m/>
    <m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">
  <r>
    <x v="0"/>
    <n v="1.7843558152571239E-2"/>
    <n v="55029248995"/>
  </r>
  <r>
    <x v="0"/>
    <n v="2.25679233868591E-2"/>
    <n v="53373446754.5"/>
  </r>
  <r>
    <x v="0"/>
    <n v="2.5951958707790022E-2"/>
    <n v="49759937969.5"/>
  </r>
  <r>
    <x v="0"/>
    <n v="3.1593354406744267E-2"/>
    <n v="45384890427.5"/>
  </r>
  <r>
    <x v="0"/>
    <n v="1.2701751308947934E-2"/>
    <n v="43373452205.5"/>
  </r>
  <r>
    <x v="0"/>
    <n v="2.300460268427245E-2"/>
    <n v="43896243301"/>
  </r>
  <r>
    <x v="1"/>
    <n v="3.6991711921101011E-2"/>
    <n v="43450558037.5"/>
  </r>
  <r>
    <x v="1"/>
    <n v="3.8665148607011729E-2"/>
    <n v="41977467512"/>
  </r>
  <r>
    <x v="1"/>
    <n v="4.2649018677756487E-2"/>
    <n v="40602998551"/>
  </r>
  <r>
    <x v="1"/>
    <n v="4.6203951413499714E-2"/>
    <n v="31664686326.5"/>
  </r>
  <r>
    <x v="1"/>
    <n v="4.2029073747304808E-2"/>
    <n v="29467676552.5"/>
  </r>
  <r>
    <x v="1"/>
    <n v="4.2438638082735541E-2"/>
    <n v="28514158000.25"/>
  </r>
  <r>
    <x v="1"/>
    <n v="4.7417534970428957E-2"/>
    <n v="26760287053"/>
  </r>
  <r>
    <x v="1"/>
    <n v="4.9557523312089499E-2"/>
    <n v="26172918036"/>
  </r>
  <r>
    <x v="1"/>
    <n v="5.1161694057537704E-2"/>
    <n v="25811747744"/>
  </r>
  <r>
    <x v="1"/>
    <n v="4.9713010287540937E-2"/>
    <n v="24989576949.5"/>
  </r>
  <r>
    <x v="1"/>
    <n v="4.7986173095446116E-2"/>
    <n v="24298336691.25"/>
  </r>
  <r>
    <x v="1"/>
    <n v="4.7977502623504559E-2"/>
    <n v="24398609877"/>
  </r>
  <r>
    <x v="2"/>
    <n v="4.5572267092022653E-2"/>
    <n v="25429157934"/>
  </r>
  <r>
    <x v="2"/>
    <n v="4.6477115039953207E-2"/>
    <n v="27886910206"/>
  </r>
  <r>
    <x v="2"/>
    <n v="4.5233025912485805E-2"/>
    <n v="31384488323"/>
  </r>
  <r>
    <x v="2"/>
    <n v="4.7762530204125339E-2"/>
    <n v="32771261275.5"/>
  </r>
  <r>
    <x v="2"/>
    <n v="4.7485783180200594E-2"/>
    <n v="32912009038.5"/>
  </r>
  <r>
    <x v="2"/>
    <n v="4.7093347349589448E-2"/>
    <n v="32131414303.5"/>
  </r>
  <r>
    <x v="2"/>
    <n v="4.6562962040619008E-2"/>
    <n v="33147402468.75"/>
  </r>
  <r>
    <x v="2"/>
    <n v="4.584683152838169E-2"/>
    <n v="34217547876.75"/>
  </r>
  <r>
    <x v="2"/>
    <n v="4.1800682647335045E-2"/>
    <n v="35388519762.25"/>
  </r>
  <r>
    <x v="2"/>
    <n v="4.1772414391437009E-2"/>
    <n v="35165325509"/>
  </r>
  <r>
    <x v="2"/>
    <n v="3.882696151628607E-2"/>
    <n v="38308779801.5"/>
  </r>
  <r>
    <x v="2"/>
    <n v="3.7466448450114945E-2"/>
    <n v="41196909024.75"/>
  </r>
  <r>
    <x v="3"/>
    <n v="3.7546224396827539E-2"/>
    <n v="47143713461.5"/>
  </r>
  <r>
    <x v="3"/>
    <n v="3.8721463331912308E-2"/>
    <n v="54849311754"/>
  </r>
  <r>
    <x v="3"/>
    <n v="3.971153084120245E-2"/>
    <n v="58606368867.75"/>
  </r>
  <r>
    <x v="3"/>
    <n v="3.9732279366180068E-2"/>
    <n v="60732772802"/>
  </r>
  <r>
    <x v="3"/>
    <n v="3.8713067796979118E-2"/>
    <n v="61224459823"/>
  </r>
  <r>
    <x v="3"/>
    <n v="3.7977681249096173E-2"/>
    <n v="61021639619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7C0B10-8079-BD43-91E8-DA5248D0826A}" name="PivotTable8" cacheId="6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Z37:AB42" firstHeaderRow="0" firstDataRow="1" firstDataCol="1"/>
  <pivotFields count="3">
    <pivotField axis="axisRow" showAll="0">
      <items count="5">
        <item x="0"/>
        <item x="1"/>
        <item x="2"/>
        <item x="3"/>
        <item t="default"/>
      </items>
    </pivotField>
    <pivotField dataField="1" showAll="0"/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Average of Weighted Yield %" fld="1" subtotal="average" baseField="0" baseItem="0" numFmtId="169"/>
    <dataField name="Average of Average of USDC Float" fld="2" subtotal="average" baseField="0" baseItem="0" numFmtId="44"/>
  </dataFields>
  <formats count="2"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6B47B3-0353-344B-9FEA-E893E6212FC8}" name="PivotTable2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V37:X74" firstHeaderRow="0" firstDataRow="1" firstDataCol="1" rowPageCount="1" colPageCount="1"/>
  <pivotFields count="14">
    <pivotField showAll="0"/>
    <pivotField numFmtId="10" showAll="0"/>
    <pivotField numFmtId="10" showAll="0"/>
    <pivotField numFmtId="10" showAll="0"/>
    <pivotField showAll="0"/>
    <pivotField showAll="0"/>
    <pivotField numFmtId="10" showAll="0"/>
    <pivotField dataField="1" numFmtId="44" showAll="0"/>
    <pivotField axis="axisPage" dataField="1" multipleItemSelectionAllowed="1" showAll="0">
      <items count="69">
        <item h="1" x="66"/>
        <item x="61"/>
        <item x="65"/>
        <item x="64"/>
        <item x="60"/>
        <item x="63"/>
        <item x="62"/>
        <item x="11"/>
        <item x="56"/>
        <item x="59"/>
        <item x="1"/>
        <item x="12"/>
        <item x="58"/>
        <item x="14"/>
        <item x="13"/>
        <item x="8"/>
        <item x="2"/>
        <item x="7"/>
        <item x="5"/>
        <item x="3"/>
        <item x="0"/>
        <item x="9"/>
        <item x="10"/>
        <item x="49"/>
        <item x="15"/>
        <item x="50"/>
        <item x="4"/>
        <item x="6"/>
        <item x="19"/>
        <item x="16"/>
        <item x="57"/>
        <item x="53"/>
        <item x="17"/>
        <item x="54"/>
        <item x="18"/>
        <item x="55"/>
        <item x="51"/>
        <item x="48"/>
        <item x="31"/>
        <item x="30"/>
        <item x="34"/>
        <item x="35"/>
        <item x="20"/>
        <item x="32"/>
        <item x="21"/>
        <item x="24"/>
        <item x="23"/>
        <item x="22"/>
        <item x="36"/>
        <item x="26"/>
        <item x="33"/>
        <item x="28"/>
        <item x="46"/>
        <item x="47"/>
        <item x="25"/>
        <item x="39"/>
        <item x="27"/>
        <item x="38"/>
        <item x="29"/>
        <item x="44"/>
        <item x="37"/>
        <item x="42"/>
        <item x="40"/>
        <item x="41"/>
        <item x="52"/>
        <item x="45"/>
        <item x="43"/>
        <item h="1" x="67"/>
        <item t="default"/>
      </items>
    </pivotField>
    <pivotField showAll="0"/>
    <pivotField showAll="0"/>
    <pivotField showAll="0"/>
    <pivotField showAll="0"/>
    <pivotField axis="axisRow" showAll="0">
      <items count="44"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h="1" x="42"/>
        <item t="default"/>
      </items>
    </pivotField>
  </pivotFields>
  <rowFields count="1">
    <field x="13"/>
  </rowFields>
  <rowItems count="37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-2"/>
  </colFields>
  <colItems count="2">
    <i>
      <x/>
    </i>
    <i i="1">
      <x v="1"/>
    </i>
  </colItems>
  <pageFields count="1">
    <pageField fld="8" hier="-1"/>
  </pageFields>
  <dataFields count="2">
    <dataField name="Average of Weighted Yield %" fld="8" subtotal="average" baseField="0" baseItem="0"/>
    <dataField name="Average of Avg USDC Float ($)" fld="7" subtotal="average" baseField="0" baseItem="0" numFmtId="44"/>
  </dataFields>
  <formats count="3">
    <format dxfId="4">
      <pivotArea collapsedLevelsAreSubtotals="1" fieldPosition="0">
        <references count="1">
          <reference field="13" count="3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</reference>
        </references>
      </pivotArea>
    </format>
    <format dxfId="3">
      <pivotArea grandRow="1" outline="0" collapsedLevelsAreSubtotals="1" fieldPosition="0"/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0CF9E-9AF1-413B-AED6-82318180D5F8}">
  <dimension ref="A1:O75"/>
  <sheetViews>
    <sheetView topLeftCell="I1" workbookViewId="0">
      <pane ySplit="1" topLeftCell="A32" activePane="bottomLeft" state="frozen"/>
      <selection pane="bottomLeft" activeCell="F58" sqref="F58"/>
    </sheetView>
  </sheetViews>
  <sheetFormatPr baseColWidth="10" defaultColWidth="8.83203125" defaultRowHeight="15" x14ac:dyDescent="0.2"/>
  <cols>
    <col min="1" max="1" width="10.5" style="8" bestFit="1" customWidth="1"/>
    <col min="2" max="2" width="16" style="14" customWidth="1"/>
    <col min="3" max="3" width="33.33203125" style="15" bestFit="1" customWidth="1"/>
    <col min="4" max="4" width="23" style="13" bestFit="1" customWidth="1"/>
    <col min="5" max="5" width="29.5" style="6" bestFit="1" customWidth="1"/>
    <col min="6" max="6" width="25.5" style="6" bestFit="1" customWidth="1"/>
    <col min="7" max="7" width="66.83203125" style="6" bestFit="1" customWidth="1"/>
    <col min="8" max="8" width="16.33203125" style="6" bestFit="1" customWidth="1"/>
    <col min="9" max="9" width="26" style="13" bestFit="1" customWidth="1"/>
    <col min="10" max="10" width="47.83203125" style="13" bestFit="1" customWidth="1"/>
    <col min="11" max="11" width="35.1640625" style="6" bestFit="1" customWidth="1"/>
    <col min="12" max="12" width="56.6640625" style="6" bestFit="1" customWidth="1"/>
    <col min="13" max="13" width="26.33203125" style="13" bestFit="1" customWidth="1"/>
    <col min="14" max="14" width="29.33203125" style="13" bestFit="1" customWidth="1"/>
    <col min="15" max="15" width="16.83203125" style="6" bestFit="1" customWidth="1"/>
  </cols>
  <sheetData>
    <row r="1" spans="1:15" x14ac:dyDescent="0.2">
      <c r="A1" s="12" t="s">
        <v>0</v>
      </c>
      <c r="B1" s="10" t="s">
        <v>30</v>
      </c>
      <c r="C1" s="11" t="s">
        <v>29</v>
      </c>
      <c r="D1" s="9" t="s">
        <v>19</v>
      </c>
      <c r="E1" s="7" t="s">
        <v>20</v>
      </c>
      <c r="F1" s="7" t="s">
        <v>21</v>
      </c>
      <c r="G1" s="3" t="s">
        <v>31</v>
      </c>
      <c r="H1" s="3" t="s">
        <v>22</v>
      </c>
      <c r="I1" s="4" t="s">
        <v>23</v>
      </c>
      <c r="J1" s="4" t="s">
        <v>32</v>
      </c>
      <c r="K1" s="2" t="s">
        <v>24</v>
      </c>
      <c r="L1" s="3" t="s">
        <v>25</v>
      </c>
      <c r="M1" s="4" t="s">
        <v>26</v>
      </c>
      <c r="N1" s="4" t="s">
        <v>27</v>
      </c>
      <c r="O1" s="4" t="s">
        <v>28</v>
      </c>
    </row>
    <row r="2" spans="1:15" x14ac:dyDescent="0.2">
      <c r="A2" s="8">
        <v>45838</v>
      </c>
      <c r="B2" s="14">
        <v>61332530506</v>
      </c>
      <c r="C2" s="15">
        <v>61397784739</v>
      </c>
      <c r="D2" s="13">
        <v>27039491803</v>
      </c>
      <c r="E2" s="6">
        <v>27066000000</v>
      </c>
      <c r="F2" s="6">
        <v>1004148238</v>
      </c>
      <c r="G2" s="6">
        <v>-1944777916</v>
      </c>
      <c r="H2" s="6">
        <f t="shared" ref="H2:H33" si="0">F2+G2</f>
        <v>-940629678</v>
      </c>
      <c r="I2" s="13">
        <f t="shared" ref="I2:I33" si="1">SUM(D2:G2)</f>
        <v>53164862125</v>
      </c>
      <c r="K2" s="6">
        <v>8421833092</v>
      </c>
      <c r="L2" s="6">
        <v>-188910478</v>
      </c>
      <c r="M2" s="13">
        <f t="shared" ref="M2:M33" si="2">SUM(K2:L2)</f>
        <v>8232922614</v>
      </c>
      <c r="N2" s="13">
        <f t="shared" ref="N2:N33" si="3">I2+M2</f>
        <v>61397784739</v>
      </c>
      <c r="O2" s="6">
        <f t="shared" ref="O2:O33" si="4">H2+M2</f>
        <v>7292292936</v>
      </c>
    </row>
    <row r="3" spans="1:15" x14ac:dyDescent="0.2">
      <c r="A3" s="8">
        <v>45820</v>
      </c>
      <c r="B3" s="14">
        <v>60935344661</v>
      </c>
      <c r="C3" s="15">
        <v>61000387007</v>
      </c>
      <c r="D3" s="13">
        <v>24845006566</v>
      </c>
      <c r="E3" s="6">
        <v>26895000000</v>
      </c>
      <c r="F3" s="6">
        <v>1000620999</v>
      </c>
      <c r="G3" s="6">
        <v>-75977366</v>
      </c>
      <c r="H3" s="6">
        <f t="shared" si="0"/>
        <v>924643633</v>
      </c>
      <c r="I3" s="13">
        <f t="shared" si="1"/>
        <v>52664650199</v>
      </c>
      <c r="K3" s="6">
        <v>8412161727</v>
      </c>
      <c r="L3" s="6">
        <v>-76424919</v>
      </c>
      <c r="M3" s="13">
        <f t="shared" si="2"/>
        <v>8335736808</v>
      </c>
      <c r="N3" s="13">
        <f t="shared" si="3"/>
        <v>61000387007</v>
      </c>
      <c r="O3" s="6">
        <f t="shared" si="4"/>
        <v>9260380441</v>
      </c>
    </row>
    <row r="4" spans="1:15" x14ac:dyDescent="0.2">
      <c r="A4" s="8">
        <v>45807</v>
      </c>
      <c r="B4" s="14">
        <v>60883338651</v>
      </c>
      <c r="C4" s="15">
        <v>60948366559</v>
      </c>
      <c r="D4" s="13">
        <v>28342482586</v>
      </c>
      <c r="E4" s="6">
        <v>25402000000</v>
      </c>
      <c r="F4" s="6">
        <v>1004462316</v>
      </c>
      <c r="G4" s="6">
        <v>-1684309100</v>
      </c>
      <c r="H4" s="6">
        <f t="shared" si="0"/>
        <v>-679846784</v>
      </c>
      <c r="I4" s="13">
        <f t="shared" si="1"/>
        <v>53064635802</v>
      </c>
      <c r="K4" s="6">
        <v>7919350020</v>
      </c>
      <c r="L4" s="6">
        <v>-35619263</v>
      </c>
      <c r="M4" s="13">
        <f t="shared" si="2"/>
        <v>7883730757</v>
      </c>
      <c r="N4" s="13">
        <f t="shared" si="3"/>
        <v>60948366559</v>
      </c>
      <c r="O4" s="6">
        <f t="shared" si="4"/>
        <v>7203883973</v>
      </c>
    </row>
    <row r="5" spans="1:15" x14ac:dyDescent="0.2">
      <c r="A5" s="8">
        <v>45804</v>
      </c>
      <c r="B5" s="14">
        <v>61300869505</v>
      </c>
      <c r="C5" s="15">
        <v>61365878015</v>
      </c>
      <c r="D5" s="13">
        <v>28693574377</v>
      </c>
      <c r="E5" s="6">
        <v>26532000000</v>
      </c>
      <c r="F5" s="6">
        <v>1000322749</v>
      </c>
      <c r="G5" s="6">
        <v>-2911280721</v>
      </c>
      <c r="H5" s="6">
        <f t="shared" si="0"/>
        <v>-1910957972</v>
      </c>
      <c r="I5" s="13">
        <f t="shared" si="1"/>
        <v>53314616405</v>
      </c>
      <c r="K5" s="6">
        <v>8238377934</v>
      </c>
      <c r="L5" s="6">
        <v>-187116324</v>
      </c>
      <c r="M5" s="13">
        <f t="shared" si="2"/>
        <v>8051261610</v>
      </c>
      <c r="N5" s="13">
        <f t="shared" si="3"/>
        <v>61365878015</v>
      </c>
      <c r="O5" s="6">
        <f t="shared" si="4"/>
        <v>6140303638</v>
      </c>
    </row>
    <row r="6" spans="1:15" x14ac:dyDescent="0.2">
      <c r="A6" s="8">
        <v>45777</v>
      </c>
      <c r="B6" s="14">
        <v>61412761631</v>
      </c>
      <c r="C6" s="15">
        <v>61477725087</v>
      </c>
      <c r="D6" s="13">
        <v>25481695229</v>
      </c>
      <c r="E6" s="6">
        <v>31439000000</v>
      </c>
      <c r="F6" s="6">
        <v>1004132744</v>
      </c>
      <c r="G6" s="6">
        <v>-3710256622</v>
      </c>
      <c r="H6" s="6">
        <f t="shared" si="0"/>
        <v>-2706123878</v>
      </c>
      <c r="I6" s="13">
        <f t="shared" si="1"/>
        <v>54214571351</v>
      </c>
      <c r="K6" s="6">
        <v>7270084526</v>
      </c>
      <c r="L6" s="6">
        <v>-6930790</v>
      </c>
      <c r="M6" s="13">
        <f t="shared" si="2"/>
        <v>7263153736</v>
      </c>
      <c r="N6" s="13">
        <f t="shared" si="3"/>
        <v>61477725087</v>
      </c>
      <c r="O6" s="6">
        <f t="shared" si="4"/>
        <v>4557029858</v>
      </c>
    </row>
    <row r="7" spans="1:15" x14ac:dyDescent="0.2">
      <c r="A7" s="8">
        <v>45750</v>
      </c>
      <c r="B7" s="14">
        <v>60771278931</v>
      </c>
      <c r="C7" s="15">
        <v>60836214403</v>
      </c>
      <c r="D7" s="13">
        <v>24027987792</v>
      </c>
      <c r="E7" s="6">
        <v>30410000000</v>
      </c>
      <c r="F7" s="6">
        <v>1000902675</v>
      </c>
      <c r="G7" s="6">
        <v>-1574347098</v>
      </c>
      <c r="H7" s="6">
        <f t="shared" si="0"/>
        <v>-573444423</v>
      </c>
      <c r="I7" s="13">
        <f t="shared" si="1"/>
        <v>53864543369</v>
      </c>
      <c r="K7" s="6">
        <v>6990100958</v>
      </c>
      <c r="L7" s="6">
        <v>-18429924</v>
      </c>
      <c r="M7" s="13">
        <f t="shared" si="2"/>
        <v>6971671034</v>
      </c>
      <c r="N7" s="13">
        <f t="shared" si="3"/>
        <v>60836214403</v>
      </c>
      <c r="O7" s="6">
        <f t="shared" si="4"/>
        <v>6398226611</v>
      </c>
    </row>
    <row r="8" spans="1:15" x14ac:dyDescent="0.2">
      <c r="A8" s="8">
        <v>45747</v>
      </c>
      <c r="B8" s="14">
        <v>59975771715</v>
      </c>
      <c r="C8" s="15">
        <v>60040707040</v>
      </c>
      <c r="D8" s="13">
        <v>24862566987</v>
      </c>
      <c r="E8" s="6">
        <v>30815000000</v>
      </c>
      <c r="F8" s="6">
        <v>1004149953</v>
      </c>
      <c r="G8" s="6">
        <v>-3117173718</v>
      </c>
      <c r="H8" s="6">
        <f t="shared" si="0"/>
        <v>-2113023765</v>
      </c>
      <c r="I8" s="13">
        <f t="shared" si="1"/>
        <v>53564543222</v>
      </c>
      <c r="K8" s="6">
        <v>6592595197</v>
      </c>
      <c r="L8" s="6">
        <v>-116431379</v>
      </c>
      <c r="M8" s="13">
        <f t="shared" si="2"/>
        <v>6476163818</v>
      </c>
      <c r="N8" s="13">
        <f t="shared" si="3"/>
        <v>60040707040</v>
      </c>
      <c r="O8" s="6">
        <f t="shared" si="4"/>
        <v>4363140053</v>
      </c>
    </row>
    <row r="9" spans="1:15" x14ac:dyDescent="0.2">
      <c r="A9" s="8">
        <v>45735</v>
      </c>
      <c r="B9" s="14">
        <v>59082692603</v>
      </c>
      <c r="C9" s="15">
        <v>59147592128</v>
      </c>
      <c r="D9" s="13">
        <v>22220166790</v>
      </c>
      <c r="E9" s="6">
        <v>31040000000</v>
      </c>
      <c r="F9" s="6">
        <v>1000774222</v>
      </c>
      <c r="G9" s="6">
        <v>-2096433792</v>
      </c>
      <c r="H9" s="6">
        <f t="shared" si="0"/>
        <v>-1095659570</v>
      </c>
      <c r="I9" s="13">
        <f t="shared" si="1"/>
        <v>52164507220</v>
      </c>
      <c r="K9" s="6">
        <v>7067110474</v>
      </c>
      <c r="L9" s="6">
        <v>-84025566</v>
      </c>
      <c r="M9" s="13">
        <f t="shared" si="2"/>
        <v>6983084908</v>
      </c>
      <c r="N9" s="13">
        <f t="shared" si="3"/>
        <v>59147592128</v>
      </c>
      <c r="O9" s="6">
        <f t="shared" si="4"/>
        <v>5887425338</v>
      </c>
    </row>
    <row r="10" spans="1:15" x14ac:dyDescent="0.2">
      <c r="A10" s="8">
        <v>45716</v>
      </c>
      <c r="B10" s="14">
        <v>56284318550</v>
      </c>
      <c r="C10" s="15">
        <v>56349194760</v>
      </c>
      <c r="D10" s="13">
        <v>22047086599</v>
      </c>
      <c r="E10" s="6">
        <v>27473000000</v>
      </c>
      <c r="F10" s="6">
        <v>1003716452</v>
      </c>
      <c r="G10" s="6">
        <v>-1159318946</v>
      </c>
      <c r="H10" s="6">
        <f t="shared" si="0"/>
        <v>-155602494</v>
      </c>
      <c r="I10" s="13">
        <f t="shared" si="1"/>
        <v>49364484105</v>
      </c>
      <c r="K10" s="6">
        <v>7019243460</v>
      </c>
      <c r="L10" s="6">
        <v>-34532805</v>
      </c>
      <c r="M10" s="13">
        <f t="shared" si="2"/>
        <v>6984710655</v>
      </c>
      <c r="N10" s="13">
        <f t="shared" si="3"/>
        <v>56349194760</v>
      </c>
      <c r="O10" s="6">
        <f t="shared" si="4"/>
        <v>6829108161</v>
      </c>
    </row>
    <row r="11" spans="1:15" x14ac:dyDescent="0.2">
      <c r="A11" s="8">
        <v>45692</v>
      </c>
      <c r="B11" s="14">
        <v>54946994369</v>
      </c>
      <c r="C11" s="15">
        <v>55011856146</v>
      </c>
      <c r="D11" s="13">
        <v>21334341582</v>
      </c>
      <c r="E11" s="6">
        <v>28339000000</v>
      </c>
      <c r="F11" s="6">
        <v>1000865543</v>
      </c>
      <c r="G11" s="6">
        <v>-2409737452</v>
      </c>
      <c r="H11" s="6">
        <f t="shared" si="0"/>
        <v>-1408871909</v>
      </c>
      <c r="I11" s="13">
        <f t="shared" si="1"/>
        <v>48264469673</v>
      </c>
      <c r="K11" s="6">
        <v>6930589915</v>
      </c>
      <c r="L11" s="6">
        <v>-183203442</v>
      </c>
      <c r="M11" s="13">
        <f t="shared" si="2"/>
        <v>6747386473</v>
      </c>
      <c r="N11" s="13">
        <f t="shared" si="3"/>
        <v>55011856146</v>
      </c>
      <c r="O11" s="6">
        <f t="shared" si="4"/>
        <v>5338514564</v>
      </c>
    </row>
    <row r="12" spans="1:15" x14ac:dyDescent="0.2">
      <c r="A12" s="8">
        <v>45688</v>
      </c>
      <c r="B12" s="14">
        <v>53218939728</v>
      </c>
      <c r="C12" s="15">
        <v>53283800358</v>
      </c>
      <c r="D12" s="13">
        <v>20801877573</v>
      </c>
      <c r="E12" s="6">
        <v>27602000000</v>
      </c>
      <c r="F12" s="6">
        <v>1004199894</v>
      </c>
      <c r="G12" s="6">
        <v>-2143608943</v>
      </c>
      <c r="H12" s="6">
        <f t="shared" si="0"/>
        <v>-1139409049</v>
      </c>
      <c r="I12" s="13">
        <f t="shared" si="1"/>
        <v>47264468524</v>
      </c>
      <c r="K12" s="6">
        <v>6115166801</v>
      </c>
      <c r="L12" s="6">
        <v>-95834967</v>
      </c>
      <c r="M12" s="13">
        <f t="shared" si="2"/>
        <v>6019331834</v>
      </c>
      <c r="N12" s="13">
        <f t="shared" si="3"/>
        <v>53283800358</v>
      </c>
      <c r="O12" s="6">
        <f t="shared" si="4"/>
        <v>4879922785</v>
      </c>
    </row>
    <row r="13" spans="1:15" x14ac:dyDescent="0.2">
      <c r="A13" s="8">
        <v>45663</v>
      </c>
      <c r="B13" s="14">
        <v>45749557136</v>
      </c>
      <c r="C13" s="15">
        <v>45814301624</v>
      </c>
      <c r="D13" s="13">
        <v>11904075163</v>
      </c>
      <c r="E13" s="6">
        <v>25947000000</v>
      </c>
      <c r="F13" s="6">
        <v>1000586858</v>
      </c>
      <c r="G13" s="6">
        <v>662690404</v>
      </c>
      <c r="H13" s="6">
        <f t="shared" si="0"/>
        <v>1663277262</v>
      </c>
      <c r="I13" s="13">
        <f t="shared" si="1"/>
        <v>39514352425</v>
      </c>
      <c r="K13" s="6">
        <v>6304543579</v>
      </c>
      <c r="L13" s="6">
        <v>-4594380</v>
      </c>
      <c r="M13" s="13">
        <f t="shared" si="2"/>
        <v>6299949199</v>
      </c>
      <c r="N13" s="13">
        <f t="shared" si="3"/>
        <v>45814301624</v>
      </c>
      <c r="O13" s="6">
        <f t="shared" si="4"/>
        <v>7963226461</v>
      </c>
    </row>
    <row r="14" spans="1:15" x14ac:dyDescent="0.2">
      <c r="A14" s="8">
        <v>45657</v>
      </c>
      <c r="B14" s="14">
        <v>43856799846</v>
      </c>
      <c r="C14" s="15">
        <v>43921522065</v>
      </c>
      <c r="D14" s="13">
        <v>14787448865</v>
      </c>
      <c r="E14" s="6">
        <v>21863000000</v>
      </c>
      <c r="F14" s="6">
        <v>1006020757</v>
      </c>
      <c r="G14" s="6">
        <v>-142139466</v>
      </c>
      <c r="H14" s="6">
        <f t="shared" si="0"/>
        <v>863881291</v>
      </c>
      <c r="I14" s="13">
        <f t="shared" si="1"/>
        <v>37514330156</v>
      </c>
      <c r="K14" s="6">
        <v>6479363032</v>
      </c>
      <c r="L14" s="6">
        <v>-72171123</v>
      </c>
      <c r="M14" s="13">
        <f t="shared" si="2"/>
        <v>6407191909</v>
      </c>
      <c r="N14" s="13">
        <f t="shared" si="3"/>
        <v>43921522065</v>
      </c>
      <c r="O14" s="6">
        <f t="shared" si="4"/>
        <v>7271073200</v>
      </c>
    </row>
    <row r="15" spans="1:15" x14ac:dyDescent="0.2">
      <c r="A15" s="8">
        <v>45635</v>
      </c>
      <c r="B15" s="14">
        <v>40596908123</v>
      </c>
      <c r="C15" s="15">
        <v>40661528469</v>
      </c>
      <c r="D15" s="13">
        <v>15517335716</v>
      </c>
      <c r="E15" s="6">
        <v>18486000000</v>
      </c>
      <c r="F15" s="6">
        <v>1000510159</v>
      </c>
      <c r="G15" s="6">
        <v>-39617595</v>
      </c>
      <c r="H15" s="6">
        <f t="shared" si="0"/>
        <v>960892564</v>
      </c>
      <c r="I15" s="13">
        <f t="shared" si="1"/>
        <v>34964228280</v>
      </c>
      <c r="K15" s="6">
        <v>5787365809</v>
      </c>
      <c r="L15" s="6">
        <v>-90065620</v>
      </c>
      <c r="M15" s="13">
        <f t="shared" si="2"/>
        <v>5697300189</v>
      </c>
      <c r="N15" s="13">
        <f t="shared" si="3"/>
        <v>40661528469</v>
      </c>
      <c r="O15" s="6">
        <f t="shared" si="4"/>
        <v>6658192753</v>
      </c>
    </row>
    <row r="16" spans="1:15" x14ac:dyDescent="0.2">
      <c r="A16" s="8">
        <v>45625</v>
      </c>
      <c r="B16" s="14">
        <v>39737020007</v>
      </c>
      <c r="C16" s="15">
        <v>39801630749</v>
      </c>
      <c r="D16" s="13">
        <v>14801641265</v>
      </c>
      <c r="E16" s="6">
        <v>17680000000</v>
      </c>
      <c r="F16" s="6">
        <v>1003902987</v>
      </c>
      <c r="G16" s="6">
        <v>-121325576</v>
      </c>
      <c r="H16" s="6">
        <f t="shared" si="0"/>
        <v>882577411</v>
      </c>
      <c r="I16" s="13">
        <f t="shared" si="1"/>
        <v>33364218676</v>
      </c>
      <c r="K16" s="6">
        <v>6505203707</v>
      </c>
      <c r="L16" s="6">
        <v>-67791634</v>
      </c>
      <c r="M16" s="13">
        <f t="shared" si="2"/>
        <v>6437412073</v>
      </c>
      <c r="N16" s="13">
        <f t="shared" si="3"/>
        <v>39801630749</v>
      </c>
      <c r="O16" s="6">
        <f t="shared" si="4"/>
        <v>7319989484</v>
      </c>
    </row>
    <row r="17" spans="1:15" x14ac:dyDescent="0.2">
      <c r="A17" s="8">
        <v>45623</v>
      </c>
      <c r="B17" s="14">
        <v>39412456784</v>
      </c>
      <c r="C17" s="15">
        <v>39477067526</v>
      </c>
      <c r="D17" s="13">
        <v>15117317784</v>
      </c>
      <c r="E17" s="6">
        <v>19343000000</v>
      </c>
      <c r="F17" s="6">
        <v>1000569596</v>
      </c>
      <c r="G17" s="6">
        <v>-2096668704</v>
      </c>
      <c r="H17" s="6">
        <f t="shared" si="0"/>
        <v>-1096099108</v>
      </c>
      <c r="I17" s="13">
        <f t="shared" si="1"/>
        <v>33364218676</v>
      </c>
      <c r="K17" s="6">
        <v>6199565233</v>
      </c>
      <c r="L17" s="6">
        <v>-86716383</v>
      </c>
      <c r="M17" s="13">
        <f t="shared" si="2"/>
        <v>6112848850</v>
      </c>
      <c r="N17" s="13">
        <f t="shared" si="3"/>
        <v>39477067526</v>
      </c>
      <c r="O17" s="6">
        <f t="shared" si="4"/>
        <v>5016749742</v>
      </c>
    </row>
    <row r="18" spans="1:15" x14ac:dyDescent="0.2">
      <c r="A18" s="8">
        <v>45596</v>
      </c>
      <c r="B18" s="14">
        <v>34673185631</v>
      </c>
      <c r="C18" s="15">
        <v>34737568377</v>
      </c>
      <c r="D18" s="13">
        <v>10648250115</v>
      </c>
      <c r="E18" s="6">
        <v>18913000000</v>
      </c>
      <c r="F18" s="6">
        <v>1004683925</v>
      </c>
      <c r="G18" s="6">
        <v>-127063091</v>
      </c>
      <c r="H18" s="6">
        <f t="shared" si="0"/>
        <v>877620834</v>
      </c>
      <c r="I18" s="13">
        <f t="shared" si="1"/>
        <v>30438870949</v>
      </c>
      <c r="K18" s="6">
        <v>4316618640</v>
      </c>
      <c r="L18" s="6">
        <v>-17921212</v>
      </c>
      <c r="M18" s="13">
        <f t="shared" si="2"/>
        <v>4298697428</v>
      </c>
      <c r="N18" s="13">
        <f t="shared" si="3"/>
        <v>34737568377</v>
      </c>
      <c r="O18" s="6">
        <f t="shared" si="4"/>
        <v>5176318262</v>
      </c>
    </row>
    <row r="19" spans="1:15" x14ac:dyDescent="0.2">
      <c r="A19" s="8">
        <v>45572</v>
      </c>
      <c r="B19" s="14">
        <v>35259575752</v>
      </c>
      <c r="C19" s="15">
        <v>35323765191</v>
      </c>
      <c r="D19" s="13">
        <v>8575834259</v>
      </c>
      <c r="E19" s="6">
        <v>22627000000</v>
      </c>
      <c r="F19" s="6">
        <v>1000246785</v>
      </c>
      <c r="G19" s="6">
        <v>-714283177</v>
      </c>
      <c r="H19" s="6">
        <f t="shared" si="0"/>
        <v>285963608</v>
      </c>
      <c r="I19" s="13">
        <f t="shared" si="1"/>
        <v>31488797867</v>
      </c>
      <c r="K19" s="6">
        <v>3918875481</v>
      </c>
      <c r="L19" s="6">
        <v>-83908157</v>
      </c>
      <c r="M19" s="13">
        <f t="shared" si="2"/>
        <v>3834967324</v>
      </c>
      <c r="N19" s="13">
        <f t="shared" si="3"/>
        <v>35323765191</v>
      </c>
      <c r="O19" s="6">
        <f t="shared" si="4"/>
        <v>4120930932</v>
      </c>
    </row>
    <row r="20" spans="1:15" x14ac:dyDescent="0.2">
      <c r="A20" s="8">
        <v>45565</v>
      </c>
      <c r="B20" s="14">
        <v>35468964901</v>
      </c>
      <c r="C20" s="15">
        <v>35533322286</v>
      </c>
      <c r="D20" s="13">
        <v>8059348784</v>
      </c>
      <c r="E20" s="6">
        <v>22556000000</v>
      </c>
      <c r="F20" s="6">
        <v>1004993823</v>
      </c>
      <c r="G20" s="6">
        <v>-131544740</v>
      </c>
      <c r="H20" s="6">
        <f t="shared" si="0"/>
        <v>873449083</v>
      </c>
      <c r="I20" s="13">
        <f t="shared" si="1"/>
        <v>31488797867</v>
      </c>
      <c r="K20" s="6">
        <v>4047881285</v>
      </c>
      <c r="L20" s="6">
        <v>-3356866</v>
      </c>
      <c r="M20" s="13">
        <f t="shared" si="2"/>
        <v>4044524419</v>
      </c>
      <c r="N20" s="13">
        <f t="shared" si="3"/>
        <v>35533322286</v>
      </c>
      <c r="O20" s="6">
        <f t="shared" si="4"/>
        <v>4917973502</v>
      </c>
    </row>
    <row r="21" spans="1:15" x14ac:dyDescent="0.2">
      <c r="A21" s="8">
        <v>45555</v>
      </c>
      <c r="B21" s="14">
        <v>35720351897</v>
      </c>
      <c r="C21" s="15">
        <v>35784541745</v>
      </c>
      <c r="D21" s="13">
        <v>8803186597</v>
      </c>
      <c r="E21" s="6">
        <v>21377000000</v>
      </c>
      <c r="F21" s="6">
        <v>1000199577</v>
      </c>
      <c r="G21" s="6">
        <v>-91588307</v>
      </c>
      <c r="H21" s="6">
        <f t="shared" si="0"/>
        <v>908611270</v>
      </c>
      <c r="I21" s="13">
        <f t="shared" si="1"/>
        <v>31088797867</v>
      </c>
      <c r="K21" s="6">
        <v>4713381750</v>
      </c>
      <c r="L21" s="6">
        <v>-17637872</v>
      </c>
      <c r="M21" s="13">
        <f t="shared" si="2"/>
        <v>4695743878</v>
      </c>
      <c r="N21" s="13">
        <f t="shared" si="3"/>
        <v>35784541745</v>
      </c>
      <c r="O21" s="6">
        <f t="shared" si="4"/>
        <v>5604355148</v>
      </c>
    </row>
    <row r="22" spans="1:15" x14ac:dyDescent="0.2">
      <c r="A22" s="8">
        <v>45534</v>
      </c>
      <c r="B22" s="14">
        <v>34644410354</v>
      </c>
      <c r="C22" s="15">
        <v>34718608570</v>
      </c>
      <c r="D22" s="13">
        <v>8652208527</v>
      </c>
      <c r="E22" s="6">
        <v>21266000000</v>
      </c>
      <c r="F22" s="6">
        <v>1004776763</v>
      </c>
      <c r="G22" s="6">
        <v>-134325793</v>
      </c>
      <c r="H22" s="6">
        <f t="shared" si="0"/>
        <v>870450970</v>
      </c>
      <c r="I22" s="13">
        <f t="shared" si="1"/>
        <v>30788659497</v>
      </c>
      <c r="K22" s="6">
        <v>3961910997</v>
      </c>
      <c r="L22" s="6">
        <v>-31961924</v>
      </c>
      <c r="M22" s="13">
        <f t="shared" si="2"/>
        <v>3929949073</v>
      </c>
      <c r="N22" s="13">
        <f t="shared" si="3"/>
        <v>34718608570</v>
      </c>
      <c r="O22" s="6">
        <f t="shared" si="4"/>
        <v>4800400043</v>
      </c>
    </row>
    <row r="23" spans="1:15" x14ac:dyDescent="0.2">
      <c r="A23" s="8">
        <v>45533</v>
      </c>
      <c r="B23" s="14">
        <v>34521002326</v>
      </c>
      <c r="C23" s="15">
        <v>34595053289</v>
      </c>
      <c r="D23" s="13">
        <v>8647172626</v>
      </c>
      <c r="E23" s="6">
        <v>21193000000</v>
      </c>
      <c r="F23" s="6">
        <v>1000561731</v>
      </c>
      <c r="G23" s="6">
        <v>-52074860</v>
      </c>
      <c r="H23" s="6">
        <f t="shared" si="0"/>
        <v>948486871</v>
      </c>
      <c r="I23" s="13">
        <f t="shared" si="1"/>
        <v>30788659497</v>
      </c>
      <c r="K23" s="6">
        <v>3830872437</v>
      </c>
      <c r="L23" s="6">
        <v>-24478645</v>
      </c>
      <c r="M23" s="13">
        <f t="shared" si="2"/>
        <v>3806393792</v>
      </c>
      <c r="N23" s="13">
        <f t="shared" si="3"/>
        <v>34595053289</v>
      </c>
      <c r="O23" s="6">
        <f t="shared" si="4"/>
        <v>4754880663</v>
      </c>
    </row>
    <row r="24" spans="1:15" x14ac:dyDescent="0.2">
      <c r="A24" s="8">
        <v>45504</v>
      </c>
      <c r="B24" s="14">
        <v>33183776501</v>
      </c>
      <c r="C24" s="15">
        <v>33247845322</v>
      </c>
      <c r="D24" s="13">
        <v>8884159331</v>
      </c>
      <c r="E24" s="6">
        <v>19831000000</v>
      </c>
      <c r="F24" s="6">
        <v>1005075675</v>
      </c>
      <c r="G24" s="6">
        <v>-131712130</v>
      </c>
      <c r="H24" s="6">
        <f t="shared" si="0"/>
        <v>873363545</v>
      </c>
      <c r="I24" s="13">
        <f t="shared" si="1"/>
        <v>29588522876</v>
      </c>
      <c r="K24" s="6">
        <v>3728381623</v>
      </c>
      <c r="L24" s="6">
        <v>-69059177</v>
      </c>
      <c r="M24" s="13">
        <f t="shared" si="2"/>
        <v>3659322446</v>
      </c>
      <c r="N24" s="13">
        <f t="shared" si="3"/>
        <v>33247845322</v>
      </c>
      <c r="O24" s="6">
        <f t="shared" si="4"/>
        <v>4532685991</v>
      </c>
    </row>
    <row r="25" spans="1:15" x14ac:dyDescent="0.2">
      <c r="A25" s="8">
        <v>45491</v>
      </c>
      <c r="B25" s="14">
        <v>33591579563</v>
      </c>
      <c r="C25" s="15">
        <v>33655332684</v>
      </c>
      <c r="D25" s="13">
        <v>9793495123</v>
      </c>
      <c r="E25" s="6">
        <v>19365000000</v>
      </c>
      <c r="F25" s="6">
        <v>1000463382</v>
      </c>
      <c r="G25" s="6">
        <v>-570596214</v>
      </c>
      <c r="H25" s="6">
        <f t="shared" si="0"/>
        <v>429867168</v>
      </c>
      <c r="I25" s="13">
        <f t="shared" si="1"/>
        <v>29588362291</v>
      </c>
      <c r="K25" s="6">
        <v>4098344043</v>
      </c>
      <c r="L25" s="6">
        <v>-31373650</v>
      </c>
      <c r="M25" s="13">
        <f t="shared" si="2"/>
        <v>4066970393</v>
      </c>
      <c r="N25" s="13">
        <f t="shared" si="3"/>
        <v>33655332684</v>
      </c>
      <c r="O25" s="6">
        <f t="shared" si="4"/>
        <v>4496837561</v>
      </c>
    </row>
    <row r="26" spans="1:15" x14ac:dyDescent="0.2">
      <c r="A26" s="8">
        <v>45471</v>
      </c>
      <c r="B26" s="14">
        <v>32222674248</v>
      </c>
      <c r="C26" s="15">
        <v>32274321543</v>
      </c>
      <c r="D26" s="13">
        <v>10720566593</v>
      </c>
      <c r="E26" s="6">
        <v>17084000000</v>
      </c>
      <c r="F26" s="6">
        <v>1004196693</v>
      </c>
      <c r="G26" s="6">
        <v>-120193196</v>
      </c>
      <c r="H26" s="6">
        <f t="shared" si="0"/>
        <v>884003497</v>
      </c>
      <c r="I26" s="13">
        <f t="shared" si="1"/>
        <v>28688570090</v>
      </c>
      <c r="K26" s="6">
        <v>3601833723</v>
      </c>
      <c r="L26" s="6">
        <v>-16082270</v>
      </c>
      <c r="M26" s="13">
        <f t="shared" si="2"/>
        <v>3585751453</v>
      </c>
      <c r="N26" s="13">
        <f t="shared" si="3"/>
        <v>32274321543</v>
      </c>
      <c r="O26" s="6">
        <f t="shared" si="4"/>
        <v>4469754950</v>
      </c>
    </row>
    <row r="27" spans="1:15" x14ac:dyDescent="0.2">
      <c r="A27" s="8">
        <v>45453</v>
      </c>
      <c r="B27" s="14">
        <v>32006867453</v>
      </c>
      <c r="C27" s="15">
        <v>32058317792</v>
      </c>
      <c r="D27" s="13">
        <v>11199235131</v>
      </c>
      <c r="E27" s="6">
        <v>17127000000</v>
      </c>
      <c r="F27" s="6">
        <v>1000967524</v>
      </c>
      <c r="G27" s="6">
        <v>-338743308</v>
      </c>
      <c r="H27" s="6">
        <f t="shared" si="0"/>
        <v>662224216</v>
      </c>
      <c r="I27" s="13">
        <f t="shared" si="1"/>
        <v>28988459347</v>
      </c>
      <c r="K27" s="5">
        <v>3090844986</v>
      </c>
      <c r="L27" s="6">
        <v>-20986541</v>
      </c>
      <c r="M27" s="13">
        <f t="shared" si="2"/>
        <v>3069858445</v>
      </c>
      <c r="N27" s="13">
        <f t="shared" si="3"/>
        <v>32058317792</v>
      </c>
      <c r="O27" s="6">
        <f t="shared" si="4"/>
        <v>3732082661</v>
      </c>
    </row>
    <row r="28" spans="1:15" x14ac:dyDescent="0.2">
      <c r="A28" s="8">
        <v>45443</v>
      </c>
      <c r="B28" s="14">
        <v>32289248060</v>
      </c>
      <c r="C28" s="15">
        <v>32340643744</v>
      </c>
      <c r="D28" s="13">
        <v>11631009304</v>
      </c>
      <c r="E28" s="6">
        <v>16489000000</v>
      </c>
      <c r="F28" s="6">
        <v>1004519270</v>
      </c>
      <c r="G28" s="6">
        <v>-136219066</v>
      </c>
      <c r="H28" s="6">
        <f t="shared" si="0"/>
        <v>868300204</v>
      </c>
      <c r="I28" s="13">
        <f t="shared" si="1"/>
        <v>28988309508</v>
      </c>
      <c r="K28" s="6">
        <v>3357248617</v>
      </c>
      <c r="L28" s="6">
        <v>-4914381</v>
      </c>
      <c r="M28" s="13">
        <f t="shared" si="2"/>
        <v>3352334236</v>
      </c>
      <c r="N28" s="13">
        <f t="shared" si="3"/>
        <v>32340643744</v>
      </c>
      <c r="O28" s="6">
        <f t="shared" si="4"/>
        <v>4220634440</v>
      </c>
    </row>
    <row r="29" spans="1:15" x14ac:dyDescent="0.2">
      <c r="A29" s="8">
        <v>45419</v>
      </c>
      <c r="B29" s="14">
        <v>33165344461</v>
      </c>
      <c r="C29" s="15">
        <v>33216419857</v>
      </c>
      <c r="D29" s="13">
        <v>11809716018</v>
      </c>
      <c r="E29" s="6">
        <v>17951000000</v>
      </c>
      <c r="F29" s="6">
        <v>1000302045</v>
      </c>
      <c r="G29" s="6">
        <v>-1022934609</v>
      </c>
      <c r="H29" s="6">
        <f t="shared" si="0"/>
        <v>-22632564</v>
      </c>
      <c r="I29" s="13">
        <f t="shared" si="1"/>
        <v>29738083454</v>
      </c>
      <c r="K29" s="6">
        <v>3487272631</v>
      </c>
      <c r="L29" s="6">
        <v>-8936228</v>
      </c>
      <c r="M29" s="13">
        <f t="shared" si="2"/>
        <v>3478336403</v>
      </c>
      <c r="N29" s="13">
        <f t="shared" si="3"/>
        <v>33216419857</v>
      </c>
      <c r="O29" s="6">
        <f t="shared" si="4"/>
        <v>3455703839</v>
      </c>
    </row>
    <row r="30" spans="1:15" x14ac:dyDescent="0.2">
      <c r="A30" s="8">
        <v>45412</v>
      </c>
      <c r="B30" s="14">
        <v>33028099172</v>
      </c>
      <c r="C30" s="15">
        <v>33079391140</v>
      </c>
      <c r="D30" s="13">
        <v>10377675993</v>
      </c>
      <c r="E30" s="6">
        <v>18732000000</v>
      </c>
      <c r="F30" s="6">
        <v>1005142023</v>
      </c>
      <c r="G30" s="6">
        <v>-126614888</v>
      </c>
      <c r="H30" s="6">
        <f t="shared" si="0"/>
        <v>878527135</v>
      </c>
      <c r="I30" s="13">
        <f t="shared" si="1"/>
        <v>29988203128</v>
      </c>
      <c r="K30" s="6">
        <v>3126173077</v>
      </c>
      <c r="L30" s="6">
        <v>-34985065</v>
      </c>
      <c r="M30" s="13">
        <f t="shared" si="2"/>
        <v>3091188012</v>
      </c>
      <c r="N30" s="13">
        <f t="shared" si="3"/>
        <v>33079391140</v>
      </c>
      <c r="O30" s="6">
        <f t="shared" si="4"/>
        <v>3969715147</v>
      </c>
    </row>
    <row r="31" spans="1:15" x14ac:dyDescent="0.2">
      <c r="A31" s="8">
        <v>45387</v>
      </c>
      <c r="B31" s="14">
        <v>32841199161</v>
      </c>
      <c r="C31" s="15">
        <v>32892349501</v>
      </c>
      <c r="D31" s="13">
        <v>12848297457</v>
      </c>
      <c r="E31" s="6">
        <v>16675000000</v>
      </c>
      <c r="F31" s="6">
        <v>1000608005</v>
      </c>
      <c r="G31" s="6">
        <v>-1385746122</v>
      </c>
      <c r="H31" s="6">
        <f t="shared" si="0"/>
        <v>-385138117</v>
      </c>
      <c r="I31" s="13">
        <f t="shared" si="1"/>
        <v>29138159340</v>
      </c>
      <c r="K31" s="6">
        <v>3761817829</v>
      </c>
      <c r="L31" s="6">
        <v>-7627668</v>
      </c>
      <c r="M31" s="13">
        <f t="shared" si="2"/>
        <v>3754190161</v>
      </c>
      <c r="N31" s="13">
        <f t="shared" si="3"/>
        <v>32892349501</v>
      </c>
      <c r="O31" s="6">
        <f t="shared" si="4"/>
        <v>3369052044</v>
      </c>
    </row>
    <row r="32" spans="1:15" x14ac:dyDescent="0.2">
      <c r="A32" s="8">
        <v>45380</v>
      </c>
      <c r="B32" s="14">
        <v>32374547608</v>
      </c>
      <c r="C32" s="15">
        <v>32425876781</v>
      </c>
      <c r="D32" s="13">
        <v>11418153075</v>
      </c>
      <c r="E32" s="6">
        <v>15927000000</v>
      </c>
      <c r="F32" s="6">
        <v>1005067934</v>
      </c>
      <c r="G32" s="6">
        <v>-111972521</v>
      </c>
      <c r="H32" s="6">
        <f t="shared" si="0"/>
        <v>893095413</v>
      </c>
      <c r="I32" s="13">
        <f t="shared" si="1"/>
        <v>28238248488</v>
      </c>
      <c r="K32" s="6">
        <v>4228498699</v>
      </c>
      <c r="L32" s="6">
        <v>-40870406</v>
      </c>
      <c r="M32" s="13">
        <f t="shared" si="2"/>
        <v>4187628293</v>
      </c>
      <c r="N32" s="13">
        <f t="shared" si="3"/>
        <v>32425876781</v>
      </c>
      <c r="O32" s="6">
        <f t="shared" si="4"/>
        <v>5080723706</v>
      </c>
    </row>
    <row r="33" spans="1:15" x14ac:dyDescent="0.2">
      <c r="A33" s="8">
        <v>45376</v>
      </c>
      <c r="B33" s="14">
        <v>32240171050</v>
      </c>
      <c r="C33" s="15">
        <v>32291373164</v>
      </c>
      <c r="D33" s="13">
        <v>10818616531</v>
      </c>
      <c r="E33" s="6">
        <v>16206000000</v>
      </c>
      <c r="F33" s="6">
        <v>1000993980</v>
      </c>
      <c r="G33" s="6">
        <v>-487399359</v>
      </c>
      <c r="H33" s="6">
        <f t="shared" si="0"/>
        <v>513594621</v>
      </c>
      <c r="I33" s="13">
        <f t="shared" si="1"/>
        <v>27538211152</v>
      </c>
      <c r="K33" s="6">
        <v>4710568562</v>
      </c>
      <c r="L33" s="6">
        <v>42593450</v>
      </c>
      <c r="M33" s="13">
        <f t="shared" si="2"/>
        <v>4753162012</v>
      </c>
      <c r="N33" s="13">
        <f t="shared" si="3"/>
        <v>32291373164</v>
      </c>
      <c r="O33" s="6">
        <f t="shared" si="4"/>
        <v>5266756633</v>
      </c>
    </row>
    <row r="34" spans="1:15" x14ac:dyDescent="0.2">
      <c r="A34" s="8">
        <v>45351</v>
      </c>
      <c r="B34" s="14">
        <v>28683063584</v>
      </c>
      <c r="C34" s="15">
        <v>28733994331</v>
      </c>
      <c r="D34" s="13">
        <v>10006134453</v>
      </c>
      <c r="E34" s="6">
        <v>14531000000</v>
      </c>
      <c r="F34" s="6">
        <v>1003830638</v>
      </c>
      <c r="G34" s="6">
        <v>-103115864</v>
      </c>
      <c r="H34" s="6">
        <f t="shared" ref="H34:H65" si="5">F34+G34</f>
        <v>900714774</v>
      </c>
      <c r="I34" s="13">
        <f t="shared" ref="I34:I50" si="6">SUM(D34:G34)</f>
        <v>25437849227</v>
      </c>
      <c r="K34" s="6">
        <v>3301872815</v>
      </c>
      <c r="L34" s="6">
        <v>-5727711</v>
      </c>
      <c r="M34" s="13">
        <f t="shared" ref="M34:M65" si="7">SUM(K34:L34)</f>
        <v>3296145104</v>
      </c>
      <c r="N34" s="13">
        <f t="shared" ref="N34:N65" si="8">I34+M34</f>
        <v>28733994331</v>
      </c>
      <c r="O34" s="6">
        <f t="shared" ref="O34:O65" si="9">H34+M34</f>
        <v>4196859878</v>
      </c>
    </row>
    <row r="35" spans="1:15" x14ac:dyDescent="0.2">
      <c r="A35" s="8">
        <v>45345</v>
      </c>
      <c r="B35" s="14">
        <v>28062598850</v>
      </c>
      <c r="C35" s="15">
        <v>28113374184</v>
      </c>
      <c r="D35" s="13">
        <v>9260546767</v>
      </c>
      <c r="E35" s="6">
        <v>15453000000</v>
      </c>
      <c r="F35" s="6">
        <v>999305030</v>
      </c>
      <c r="G35" s="6">
        <v>-575067461</v>
      </c>
      <c r="H35" s="6">
        <f t="shared" si="5"/>
        <v>424237569</v>
      </c>
      <c r="I35" s="13">
        <f t="shared" si="6"/>
        <v>25137784336</v>
      </c>
      <c r="K35" s="6">
        <v>2980618553</v>
      </c>
      <c r="L35" s="6">
        <v>-5028705</v>
      </c>
      <c r="M35" s="13">
        <f t="shared" si="7"/>
        <v>2975589848</v>
      </c>
      <c r="N35" s="13">
        <f t="shared" si="8"/>
        <v>28113374184</v>
      </c>
      <c r="O35" s="6">
        <f t="shared" si="9"/>
        <v>3399827417</v>
      </c>
    </row>
    <row r="36" spans="1:15" x14ac:dyDescent="0.2">
      <c r="A36" s="8">
        <v>45322</v>
      </c>
      <c r="B36" s="14">
        <v>26739379540</v>
      </c>
      <c r="C36" s="15">
        <v>26760484649</v>
      </c>
      <c r="D36" s="13">
        <v>7391263608</v>
      </c>
      <c r="E36" s="6">
        <v>15342000000</v>
      </c>
      <c r="F36" s="6">
        <v>1004581261</v>
      </c>
      <c r="G36" s="6">
        <v>-99834107</v>
      </c>
      <c r="H36" s="6">
        <f t="shared" si="5"/>
        <v>904747154</v>
      </c>
      <c r="I36" s="13">
        <f t="shared" si="6"/>
        <v>23638010762</v>
      </c>
      <c r="K36" s="6">
        <v>3261418999</v>
      </c>
      <c r="L36" s="6">
        <v>-108945112</v>
      </c>
      <c r="M36" s="13">
        <f t="shared" si="7"/>
        <v>3152473887</v>
      </c>
      <c r="N36" s="13">
        <f t="shared" si="8"/>
        <v>26790484649</v>
      </c>
      <c r="O36" s="6">
        <f t="shared" si="9"/>
        <v>4057221041</v>
      </c>
    </row>
    <row r="37" spans="1:15" x14ac:dyDescent="0.2">
      <c r="A37" s="8">
        <v>45302</v>
      </c>
      <c r="B37" s="14">
        <v>25167930727</v>
      </c>
      <c r="C37" s="15">
        <v>25218952505</v>
      </c>
      <c r="D37" s="13">
        <v>6912713860</v>
      </c>
      <c r="E37" s="6">
        <v>14558000000</v>
      </c>
      <c r="F37" s="6">
        <v>999513080</v>
      </c>
      <c r="G37" s="6">
        <v>-32196201</v>
      </c>
      <c r="H37" s="6">
        <f t="shared" si="5"/>
        <v>967316879</v>
      </c>
      <c r="I37" s="13">
        <f t="shared" si="6"/>
        <v>22438030739</v>
      </c>
      <c r="K37" s="6">
        <v>2806677757</v>
      </c>
      <c r="L37" s="6">
        <v>-25755991</v>
      </c>
      <c r="M37" s="13">
        <f t="shared" si="7"/>
        <v>2780921766</v>
      </c>
      <c r="N37" s="13">
        <f t="shared" si="8"/>
        <v>25218952505</v>
      </c>
      <c r="O37" s="6">
        <f t="shared" si="9"/>
        <v>3748238645</v>
      </c>
    </row>
    <row r="38" spans="1:15" x14ac:dyDescent="0.2">
      <c r="A38" s="8">
        <v>45289</v>
      </c>
      <c r="B38" s="14">
        <v>24641390742</v>
      </c>
      <c r="C38" s="15">
        <v>24693288222</v>
      </c>
      <c r="D38" s="13">
        <v>6622021104</v>
      </c>
      <c r="E38" s="6">
        <v>14707000000</v>
      </c>
      <c r="F38" s="6">
        <v>1003858010</v>
      </c>
      <c r="G38" s="6">
        <v>-94915699</v>
      </c>
      <c r="H38" s="6">
        <f t="shared" si="5"/>
        <v>908942311</v>
      </c>
      <c r="I38" s="13">
        <f t="shared" si="6"/>
        <v>22237963415</v>
      </c>
      <c r="K38" s="6">
        <v>2499849775</v>
      </c>
      <c r="L38" s="6">
        <v>-44524968</v>
      </c>
      <c r="M38" s="13">
        <f t="shared" si="7"/>
        <v>2455324807</v>
      </c>
      <c r="N38" s="13">
        <f t="shared" si="8"/>
        <v>24693288222</v>
      </c>
      <c r="O38" s="6">
        <f t="shared" si="9"/>
        <v>3364267118</v>
      </c>
    </row>
    <row r="39" spans="1:15" x14ac:dyDescent="0.2">
      <c r="A39" s="8">
        <v>45266</v>
      </c>
      <c r="B39" s="14">
        <v>24237841228</v>
      </c>
      <c r="C39" s="15">
        <v>24289673354</v>
      </c>
      <c r="D39" s="13">
        <v>7176098912</v>
      </c>
      <c r="E39" s="6">
        <v>15182000000</v>
      </c>
      <c r="F39" s="6">
        <v>999302178</v>
      </c>
      <c r="G39" s="6">
        <v>-719412126</v>
      </c>
      <c r="H39" s="6">
        <f t="shared" si="5"/>
        <v>279890052</v>
      </c>
      <c r="I39" s="13">
        <f t="shared" si="6"/>
        <v>22637988964</v>
      </c>
      <c r="K39" s="6">
        <v>1538405052</v>
      </c>
      <c r="L39" s="6">
        <v>113279338</v>
      </c>
      <c r="M39" s="13">
        <f t="shared" si="7"/>
        <v>1651684390</v>
      </c>
      <c r="N39" s="13">
        <f t="shared" si="8"/>
        <v>24289673354</v>
      </c>
      <c r="O39" s="6">
        <f t="shared" si="9"/>
        <v>1931574442</v>
      </c>
    </row>
    <row r="40" spans="1:15" x14ac:dyDescent="0.2">
      <c r="A40" s="8">
        <v>45260</v>
      </c>
      <c r="B40" s="14">
        <v>24477366310</v>
      </c>
      <c r="C40" s="15">
        <v>24529287113</v>
      </c>
      <c r="D40" s="13">
        <v>7167169630</v>
      </c>
      <c r="E40" s="6">
        <v>14564000000</v>
      </c>
      <c r="F40" s="6">
        <v>1003641646</v>
      </c>
      <c r="G40" s="6">
        <v>-96827382</v>
      </c>
      <c r="H40" s="6">
        <f t="shared" si="5"/>
        <v>906814264</v>
      </c>
      <c r="I40" s="13">
        <f t="shared" si="6"/>
        <v>22637983894</v>
      </c>
      <c r="K40" s="6">
        <v>1902038972</v>
      </c>
      <c r="L40" s="6">
        <v>-10735753</v>
      </c>
      <c r="M40" s="13">
        <f t="shared" si="7"/>
        <v>1891303219</v>
      </c>
      <c r="N40" s="13">
        <f t="shared" si="8"/>
        <v>24529287113</v>
      </c>
      <c r="O40" s="6">
        <f t="shared" si="9"/>
        <v>2798117483</v>
      </c>
    </row>
    <row r="41" spans="1:15" x14ac:dyDescent="0.2">
      <c r="A41" s="8">
        <v>45246</v>
      </c>
      <c r="B41" s="14">
        <v>24023839814</v>
      </c>
      <c r="C41" s="15">
        <v>24075758343</v>
      </c>
      <c r="D41" s="13">
        <v>7011931098</v>
      </c>
      <c r="E41" s="6">
        <v>14375000000</v>
      </c>
      <c r="F41" s="6">
        <v>999159493</v>
      </c>
      <c r="G41" s="6">
        <v>-48014674</v>
      </c>
      <c r="H41" s="6">
        <f t="shared" si="5"/>
        <v>951144819</v>
      </c>
      <c r="I41" s="13">
        <f t="shared" si="6"/>
        <v>22338075917</v>
      </c>
      <c r="K41" s="6">
        <v>1749906241</v>
      </c>
      <c r="L41" s="6">
        <v>-12223815</v>
      </c>
      <c r="M41" s="13">
        <f t="shared" si="7"/>
        <v>1737682426</v>
      </c>
      <c r="N41" s="13">
        <f t="shared" si="8"/>
        <v>24075758343</v>
      </c>
      <c r="O41" s="6">
        <f t="shared" si="9"/>
        <v>2688827245</v>
      </c>
    </row>
    <row r="42" spans="1:15" x14ac:dyDescent="0.2">
      <c r="A42" s="8">
        <v>45230</v>
      </c>
      <c r="B42" s="14">
        <v>24668300827</v>
      </c>
      <c r="C42" s="15">
        <v>24720265667</v>
      </c>
      <c r="D42" s="13">
        <v>8089725281</v>
      </c>
      <c r="E42" s="6">
        <v>14498000000</v>
      </c>
      <c r="F42" s="6">
        <v>1004045757</v>
      </c>
      <c r="G42" s="6">
        <v>-103748811</v>
      </c>
      <c r="H42" s="6">
        <f t="shared" si="5"/>
        <v>900296946</v>
      </c>
      <c r="I42" s="13">
        <f t="shared" si="6"/>
        <v>23488022227</v>
      </c>
      <c r="K42" s="6">
        <v>1252660496</v>
      </c>
      <c r="L42" s="6">
        <v>-20417056</v>
      </c>
      <c r="M42" s="13">
        <f t="shared" si="7"/>
        <v>1232243440</v>
      </c>
      <c r="N42" s="13">
        <f t="shared" si="8"/>
        <v>24720265667</v>
      </c>
      <c r="O42" s="6">
        <f t="shared" si="9"/>
        <v>2132540386</v>
      </c>
    </row>
    <row r="43" spans="1:15" x14ac:dyDescent="0.2">
      <c r="A43" s="8">
        <v>45204</v>
      </c>
      <c r="B43" s="14">
        <v>25158423972</v>
      </c>
      <c r="C43" s="15">
        <v>25209986911</v>
      </c>
      <c r="D43" s="13">
        <v>8348827158</v>
      </c>
      <c r="E43" s="6">
        <v>14802000000</v>
      </c>
      <c r="F43" s="6">
        <v>999086646</v>
      </c>
      <c r="G43" s="6">
        <v>-362193454</v>
      </c>
      <c r="H43" s="6">
        <f t="shared" si="5"/>
        <v>636893192</v>
      </c>
      <c r="I43" s="13">
        <f t="shared" si="6"/>
        <v>23787720350</v>
      </c>
      <c r="K43" s="6">
        <v>1339586306</v>
      </c>
      <c r="L43" s="6">
        <v>82680255</v>
      </c>
      <c r="M43" s="13">
        <f t="shared" si="7"/>
        <v>1422266561</v>
      </c>
      <c r="N43" s="13">
        <f t="shared" si="8"/>
        <v>25209986911</v>
      </c>
      <c r="O43" s="6">
        <f t="shared" si="9"/>
        <v>2059159753</v>
      </c>
    </row>
    <row r="44" spans="1:15" x14ac:dyDescent="0.2">
      <c r="A44" s="8">
        <v>45198</v>
      </c>
      <c r="B44" s="14">
        <v>24973159027</v>
      </c>
      <c r="C44" s="15">
        <v>25025027673</v>
      </c>
      <c r="D44" s="13">
        <v>8995831228</v>
      </c>
      <c r="E44" s="6">
        <v>13892000000</v>
      </c>
      <c r="F44" s="6">
        <v>1003332419</v>
      </c>
      <c r="G44" s="6">
        <v>-103228238</v>
      </c>
      <c r="H44" s="6">
        <f t="shared" si="5"/>
        <v>900104181</v>
      </c>
      <c r="I44" s="13">
        <f t="shared" si="6"/>
        <v>23787935409</v>
      </c>
      <c r="K44" s="6">
        <v>1247386546</v>
      </c>
      <c r="L44" s="6">
        <v>-10294282</v>
      </c>
      <c r="M44" s="13">
        <f t="shared" si="7"/>
        <v>1237092264</v>
      </c>
      <c r="N44" s="13">
        <f t="shared" si="8"/>
        <v>25025027673</v>
      </c>
      <c r="O44" s="6">
        <f t="shared" si="9"/>
        <v>2137196445</v>
      </c>
    </row>
    <row r="45" spans="1:15" x14ac:dyDescent="0.2">
      <c r="A45" s="8">
        <v>45183</v>
      </c>
      <c r="B45" s="14">
        <v>26060315400</v>
      </c>
      <c r="C45" s="15">
        <v>26110976432</v>
      </c>
      <c r="D45" s="13">
        <v>11096323514</v>
      </c>
      <c r="E45" s="6">
        <v>14374000000</v>
      </c>
      <c r="F45" s="6">
        <v>999132030</v>
      </c>
      <c r="G45" s="6">
        <v>-2182637076</v>
      </c>
      <c r="H45" s="6">
        <f t="shared" si="5"/>
        <v>-1183505046</v>
      </c>
      <c r="I45" s="13">
        <f t="shared" si="6"/>
        <v>24286818468</v>
      </c>
      <c r="K45" s="6">
        <v>1765592015</v>
      </c>
      <c r="L45" s="6">
        <v>58565949</v>
      </c>
      <c r="M45" s="13">
        <f t="shared" si="7"/>
        <v>1824157964</v>
      </c>
      <c r="N45" s="13">
        <f t="shared" si="8"/>
        <v>26110976432</v>
      </c>
      <c r="O45" s="6">
        <f t="shared" si="9"/>
        <v>640652918</v>
      </c>
    </row>
    <row r="46" spans="1:15" x14ac:dyDescent="0.2">
      <c r="A46" s="8">
        <v>45169</v>
      </c>
      <c r="B46" s="14">
        <v>26153201149</v>
      </c>
      <c r="C46" s="15">
        <v>26205114631</v>
      </c>
      <c r="D46" s="13">
        <v>8857879752</v>
      </c>
      <c r="E46" s="6">
        <v>14534000000</v>
      </c>
      <c r="F46" s="6">
        <v>1003498285</v>
      </c>
      <c r="G46" s="6">
        <v>-107406835</v>
      </c>
      <c r="H46" s="6">
        <f t="shared" si="5"/>
        <v>896091450</v>
      </c>
      <c r="I46" s="13">
        <f t="shared" si="6"/>
        <v>24287971202</v>
      </c>
      <c r="K46" s="6">
        <v>1932308264</v>
      </c>
      <c r="L46" s="6">
        <v>-15164835</v>
      </c>
      <c r="M46" s="13">
        <f t="shared" si="7"/>
        <v>1917143429</v>
      </c>
      <c r="N46" s="13">
        <f t="shared" si="8"/>
        <v>26205114631</v>
      </c>
      <c r="O46" s="6">
        <f t="shared" si="9"/>
        <v>2813234879</v>
      </c>
    </row>
    <row r="47" spans="1:15" x14ac:dyDescent="0.2">
      <c r="A47" s="8">
        <v>45145</v>
      </c>
      <c r="B47" s="14">
        <v>26065557874</v>
      </c>
      <c r="C47" s="15">
        <v>26120272363</v>
      </c>
      <c r="D47" s="13">
        <v>8495048102</v>
      </c>
      <c r="E47" s="6">
        <v>16159000000</v>
      </c>
      <c r="F47" s="6">
        <v>999126976</v>
      </c>
      <c r="G47" s="6">
        <v>-1365303161</v>
      </c>
      <c r="H47" s="6">
        <f t="shared" si="5"/>
        <v>-366176185</v>
      </c>
      <c r="I47" s="13">
        <f t="shared" si="6"/>
        <v>24287871917</v>
      </c>
      <c r="K47" s="6">
        <v>1841019902</v>
      </c>
      <c r="L47" s="6">
        <v>-8619456</v>
      </c>
      <c r="M47" s="13">
        <f t="shared" si="7"/>
        <v>1832400446</v>
      </c>
      <c r="N47" s="13">
        <f t="shared" si="8"/>
        <v>26120272363</v>
      </c>
      <c r="O47" s="6">
        <f t="shared" si="9"/>
        <v>1466224261</v>
      </c>
    </row>
    <row r="48" spans="1:15" x14ac:dyDescent="0.2">
      <c r="A48" s="8">
        <v>45138</v>
      </c>
      <c r="B48" s="14">
        <v>26407355247</v>
      </c>
      <c r="C48" s="15">
        <v>26462068123</v>
      </c>
      <c r="D48" s="13">
        <v>5950941505</v>
      </c>
      <c r="E48" s="6">
        <v>17436000000</v>
      </c>
      <c r="F48" s="6">
        <v>1004112141</v>
      </c>
      <c r="G48" s="6">
        <v>-103286163</v>
      </c>
      <c r="H48" s="6">
        <f t="shared" si="5"/>
        <v>900825978</v>
      </c>
      <c r="I48" s="13">
        <f t="shared" si="6"/>
        <v>24287767483</v>
      </c>
      <c r="K48" s="6">
        <v>2196028208</v>
      </c>
      <c r="L48" s="6">
        <v>-21727568</v>
      </c>
      <c r="M48" s="13">
        <f t="shared" si="7"/>
        <v>2174300640</v>
      </c>
      <c r="N48" s="13">
        <f t="shared" si="8"/>
        <v>26462068123</v>
      </c>
      <c r="O48" s="6">
        <f t="shared" si="9"/>
        <v>3075126618</v>
      </c>
    </row>
    <row r="49" spans="1:15" x14ac:dyDescent="0.2">
      <c r="A49" s="8">
        <v>45131</v>
      </c>
      <c r="B49" s="14">
        <v>26624720539</v>
      </c>
      <c r="C49" s="15">
        <v>26679340412</v>
      </c>
      <c r="D49" s="13">
        <v>8389935085</v>
      </c>
      <c r="E49" s="6">
        <v>15974000000</v>
      </c>
      <c r="F49" s="6">
        <v>999045196</v>
      </c>
      <c r="G49" s="6">
        <v>-575202983</v>
      </c>
      <c r="H49" s="6">
        <f t="shared" si="5"/>
        <v>423842213</v>
      </c>
      <c r="I49" s="13">
        <f t="shared" si="6"/>
        <v>24787777298</v>
      </c>
      <c r="K49" s="6">
        <v>1897890897</v>
      </c>
      <c r="L49" s="6">
        <v>-6327783</v>
      </c>
      <c r="M49" s="13">
        <f t="shared" si="7"/>
        <v>1891563114</v>
      </c>
      <c r="N49" s="13">
        <f t="shared" si="8"/>
        <v>26679340412</v>
      </c>
      <c r="O49" s="6">
        <f t="shared" si="9"/>
        <v>2315405327</v>
      </c>
    </row>
    <row r="50" spans="1:15" x14ac:dyDescent="0.2">
      <c r="A50" s="8">
        <v>45107</v>
      </c>
      <c r="B50" s="14">
        <v>27384351887</v>
      </c>
      <c r="C50" s="15">
        <v>27439541303</v>
      </c>
      <c r="D50" s="13">
        <v>5432701400</v>
      </c>
      <c r="E50" s="6">
        <v>18456000000</v>
      </c>
      <c r="F50" s="6">
        <v>1004283516</v>
      </c>
      <c r="G50" s="6">
        <v>-104988642</v>
      </c>
      <c r="H50" s="6">
        <f t="shared" si="5"/>
        <v>899294874</v>
      </c>
      <c r="I50" s="13">
        <f t="shared" si="6"/>
        <v>24787996274</v>
      </c>
      <c r="K50" s="6">
        <v>2673143113</v>
      </c>
      <c r="L50" s="6">
        <v>-21598084</v>
      </c>
      <c r="M50" s="13">
        <f t="shared" si="7"/>
        <v>2651545029</v>
      </c>
      <c r="N50" s="13">
        <f t="shared" si="8"/>
        <v>27439541303</v>
      </c>
      <c r="O50" s="6">
        <f t="shared" si="9"/>
        <v>3550839903</v>
      </c>
    </row>
    <row r="51" spans="1:15" x14ac:dyDescent="0.2">
      <c r="A51" s="8">
        <v>45079</v>
      </c>
      <c r="B51" s="14">
        <v>28901068322</v>
      </c>
      <c r="C51" s="15">
        <v>28956055009</v>
      </c>
      <c r="D51" s="13">
        <v>0</v>
      </c>
      <c r="E51" s="6">
        <v>22794000000</v>
      </c>
      <c r="F51" s="6">
        <v>2000998378</v>
      </c>
      <c r="G51" s="6">
        <v>-7089359</v>
      </c>
      <c r="H51" s="6">
        <f t="shared" si="5"/>
        <v>1993909019</v>
      </c>
      <c r="I51" s="13">
        <v>24787909019</v>
      </c>
      <c r="K51" s="6">
        <v>4188582758</v>
      </c>
      <c r="L51" s="6">
        <v>-20436768</v>
      </c>
      <c r="M51" s="13">
        <f t="shared" si="7"/>
        <v>4168145990</v>
      </c>
      <c r="N51" s="13">
        <f t="shared" si="8"/>
        <v>28956055009</v>
      </c>
      <c r="O51" s="6">
        <f t="shared" si="9"/>
        <v>6162055009</v>
      </c>
    </row>
    <row r="52" spans="1:15" x14ac:dyDescent="0.2">
      <c r="A52" s="8">
        <v>45077</v>
      </c>
      <c r="B52" s="14">
        <v>28870143470</v>
      </c>
      <c r="C52" s="15">
        <v>28925130135</v>
      </c>
      <c r="D52" s="13">
        <v>0</v>
      </c>
      <c r="E52" s="6">
        <v>22882000000</v>
      </c>
      <c r="F52" s="6">
        <v>2006937041</v>
      </c>
      <c r="G52" s="6">
        <v>-101028023</v>
      </c>
      <c r="H52" s="6">
        <f t="shared" si="5"/>
        <v>1905909018</v>
      </c>
      <c r="I52" s="13">
        <v>24787909018</v>
      </c>
      <c r="K52" s="6">
        <v>4159033351</v>
      </c>
      <c r="L52" s="6">
        <v>-21812234</v>
      </c>
      <c r="M52" s="13">
        <f t="shared" si="7"/>
        <v>4137221117</v>
      </c>
      <c r="N52" s="13">
        <f t="shared" si="8"/>
        <v>28925130135</v>
      </c>
      <c r="O52" s="6">
        <f t="shared" si="9"/>
        <v>6043130135</v>
      </c>
    </row>
    <row r="53" spans="1:15" x14ac:dyDescent="0.2">
      <c r="A53" s="8">
        <v>45069</v>
      </c>
      <c r="B53" s="14">
        <v>29253219927</v>
      </c>
      <c r="C53" s="15">
        <v>29309652268</v>
      </c>
      <c r="D53" s="13">
        <v>11751483932</v>
      </c>
      <c r="E53" s="6">
        <v>13106000000</v>
      </c>
      <c r="F53" s="6">
        <v>2000467437</v>
      </c>
      <c r="G53" s="6">
        <v>-68487546</v>
      </c>
      <c r="H53" s="6">
        <f t="shared" si="5"/>
        <v>1931979891</v>
      </c>
      <c r="I53" s="13">
        <f>SUM(D53:G53)</f>
        <v>26789463823</v>
      </c>
      <c r="K53" s="6">
        <v>2535692693</v>
      </c>
      <c r="L53" s="6">
        <v>-15504248</v>
      </c>
      <c r="M53" s="13">
        <f t="shared" si="7"/>
        <v>2520188445</v>
      </c>
      <c r="N53" s="13">
        <f t="shared" si="8"/>
        <v>29309652268</v>
      </c>
      <c r="O53" s="6">
        <f t="shared" si="9"/>
        <v>4452168336</v>
      </c>
    </row>
    <row r="54" spans="1:15" x14ac:dyDescent="0.2">
      <c r="A54" s="8">
        <v>45044</v>
      </c>
      <c r="B54" s="14">
        <v>30494122886</v>
      </c>
      <c r="C54" s="15">
        <v>30546069033</v>
      </c>
      <c r="D54" s="13">
        <v>30142388334</v>
      </c>
      <c r="E54" s="6">
        <v>0</v>
      </c>
      <c r="F54" s="6">
        <v>2075760629</v>
      </c>
      <c r="G54" s="6">
        <v>-6833233613</v>
      </c>
      <c r="H54" s="6">
        <f t="shared" si="5"/>
        <v>-4757472984</v>
      </c>
      <c r="I54" s="13">
        <v>25384915350</v>
      </c>
      <c r="K54" s="6">
        <v>5178160327</v>
      </c>
      <c r="L54" s="6">
        <v>-17006644</v>
      </c>
      <c r="M54" s="13">
        <f t="shared" si="7"/>
        <v>5161153683</v>
      </c>
      <c r="N54" s="13">
        <f t="shared" si="8"/>
        <v>30546069033</v>
      </c>
      <c r="O54" s="6">
        <f t="shared" si="9"/>
        <v>403680699</v>
      </c>
    </row>
    <row r="55" spans="1:15" x14ac:dyDescent="0.2">
      <c r="A55" s="8">
        <v>45030</v>
      </c>
      <c r="B55" s="14">
        <v>31823007385</v>
      </c>
      <c r="C55" s="15">
        <v>31882385258</v>
      </c>
      <c r="D55" s="13">
        <v>26649100634</v>
      </c>
      <c r="E55" s="6">
        <v>0</v>
      </c>
      <c r="F55" s="6">
        <v>1000798673</v>
      </c>
      <c r="G55" s="6">
        <v>-257454991</v>
      </c>
      <c r="H55" s="6">
        <f t="shared" si="5"/>
        <v>743343682</v>
      </c>
      <c r="I55" s="13">
        <v>27392444316</v>
      </c>
      <c r="K55" s="6">
        <v>4495570672</v>
      </c>
      <c r="L55" s="6">
        <v>-5629730</v>
      </c>
      <c r="M55" s="13">
        <f t="shared" si="7"/>
        <v>4489940942</v>
      </c>
      <c r="N55" s="13">
        <f t="shared" si="8"/>
        <v>31882385258</v>
      </c>
      <c r="O55" s="6">
        <f t="shared" si="9"/>
        <v>5233284624</v>
      </c>
    </row>
    <row r="56" spans="1:15" x14ac:dyDescent="0.2">
      <c r="A56" s="8">
        <v>45016</v>
      </c>
      <c r="B56" s="14">
        <v>32518607650</v>
      </c>
      <c r="C56" s="15">
        <v>32571701308</v>
      </c>
      <c r="D56" s="13">
        <v>28510534939</v>
      </c>
      <c r="E56" s="6">
        <v>0</v>
      </c>
      <c r="F56" s="6">
        <v>501603669</v>
      </c>
      <c r="G56" s="6">
        <v>-125978508</v>
      </c>
      <c r="H56" s="6">
        <f t="shared" si="5"/>
        <v>375625161</v>
      </c>
      <c r="I56" s="13">
        <f t="shared" ref="I56:I67" si="10">SUM(D56:G56)</f>
        <v>28886160100</v>
      </c>
      <c r="K56" s="6">
        <v>3707781370</v>
      </c>
      <c r="L56" s="6">
        <v>-22240162</v>
      </c>
      <c r="M56" s="13">
        <f t="shared" si="7"/>
        <v>3685541208</v>
      </c>
      <c r="N56" s="13">
        <f t="shared" si="8"/>
        <v>32571701308</v>
      </c>
      <c r="O56" s="6">
        <f t="shared" si="9"/>
        <v>4061166369</v>
      </c>
    </row>
    <row r="57" spans="1:15" x14ac:dyDescent="0.2">
      <c r="A57" s="8">
        <v>44991</v>
      </c>
      <c r="B57" s="14">
        <v>43744257742</v>
      </c>
      <c r="C57" s="15">
        <v>43799077411</v>
      </c>
      <c r="D57" s="13">
        <v>38533882466</v>
      </c>
      <c r="E57" s="6">
        <v>0</v>
      </c>
      <c r="F57" s="6">
        <v>191081592</v>
      </c>
      <c r="G57" s="6">
        <v>-6358500432</v>
      </c>
      <c r="H57" s="6">
        <f t="shared" si="5"/>
        <v>-6167418840</v>
      </c>
      <c r="I57" s="13">
        <f t="shared" si="10"/>
        <v>32366463626</v>
      </c>
      <c r="K57" s="6">
        <v>11504218977</v>
      </c>
      <c r="L57" s="6">
        <v>-71605192</v>
      </c>
      <c r="M57" s="13">
        <f t="shared" si="7"/>
        <v>11432613785</v>
      </c>
      <c r="N57" s="13">
        <f t="shared" si="8"/>
        <v>43799077411</v>
      </c>
      <c r="O57" s="6">
        <f t="shared" si="9"/>
        <v>5265194945</v>
      </c>
    </row>
    <row r="58" spans="1:15" x14ac:dyDescent="0.2">
      <c r="A58" s="8">
        <v>44985</v>
      </c>
      <c r="B58" s="14">
        <v>42404871070</v>
      </c>
      <c r="C58" s="15">
        <v>42456417425</v>
      </c>
      <c r="D58" s="13">
        <v>31677326857</v>
      </c>
      <c r="E58" s="6">
        <v>0</v>
      </c>
      <c r="F58" s="6">
        <v>302341595</v>
      </c>
      <c r="G58" s="6">
        <v>-113655068</v>
      </c>
      <c r="H58" s="6">
        <f t="shared" si="5"/>
        <v>188686527</v>
      </c>
      <c r="I58" s="13">
        <f t="shared" si="10"/>
        <v>31866013384</v>
      </c>
      <c r="K58" s="6">
        <v>10626132587</v>
      </c>
      <c r="L58" s="6">
        <v>-35728546</v>
      </c>
      <c r="M58" s="13">
        <f t="shared" si="7"/>
        <v>10590404041</v>
      </c>
      <c r="N58" s="13">
        <f t="shared" si="8"/>
        <v>42456417425</v>
      </c>
      <c r="O58" s="6">
        <f t="shared" si="9"/>
        <v>10779090568</v>
      </c>
    </row>
    <row r="59" spans="1:15" x14ac:dyDescent="0.2">
      <c r="A59" s="8">
        <v>44966</v>
      </c>
      <c r="B59" s="14">
        <v>41608472554</v>
      </c>
      <c r="C59" s="15">
        <v>41655443978</v>
      </c>
      <c r="D59" s="13">
        <v>36169306572</v>
      </c>
      <c r="E59" s="6">
        <v>0</v>
      </c>
      <c r="F59" s="6">
        <v>299152300</v>
      </c>
      <c r="G59" s="6">
        <v>-3707029854</v>
      </c>
      <c r="H59" s="6">
        <f t="shared" si="5"/>
        <v>-3407877554</v>
      </c>
      <c r="I59" s="13">
        <f t="shared" si="10"/>
        <v>32761429018</v>
      </c>
      <c r="K59" s="6">
        <v>8806814016</v>
      </c>
      <c r="L59" s="6">
        <v>87200944</v>
      </c>
      <c r="M59" s="13">
        <f t="shared" si="7"/>
        <v>8894014960</v>
      </c>
      <c r="N59" s="13">
        <f t="shared" si="8"/>
        <v>41655443978</v>
      </c>
      <c r="O59" s="6">
        <f t="shared" si="9"/>
        <v>5486137406</v>
      </c>
    </row>
    <row r="60" spans="1:15" x14ac:dyDescent="0.2">
      <c r="A60" s="8">
        <v>44957</v>
      </c>
      <c r="B60" s="14">
        <v>42288053870</v>
      </c>
      <c r="C60" s="15">
        <v>42335734074</v>
      </c>
      <c r="D60" s="13">
        <v>33723644221</v>
      </c>
      <c r="E60" s="6">
        <v>0</v>
      </c>
      <c r="F60" s="6">
        <v>54742853</v>
      </c>
      <c r="G60" s="6">
        <v>-116203278</v>
      </c>
      <c r="H60" s="6">
        <f t="shared" si="5"/>
        <v>-61460425</v>
      </c>
      <c r="I60" s="13">
        <f t="shared" si="10"/>
        <v>33662183796</v>
      </c>
      <c r="K60" s="6">
        <v>8700672117</v>
      </c>
      <c r="L60" s="6">
        <v>-27121839</v>
      </c>
      <c r="M60" s="13">
        <f t="shared" si="7"/>
        <v>8673550278</v>
      </c>
      <c r="N60" s="13">
        <f t="shared" si="8"/>
        <v>42335734074</v>
      </c>
      <c r="O60" s="6">
        <f t="shared" si="9"/>
        <v>8612089853</v>
      </c>
    </row>
    <row r="61" spans="1:15" x14ac:dyDescent="0.2">
      <c r="A61" s="8">
        <v>44943</v>
      </c>
      <c r="B61" s="14">
        <v>43480317534</v>
      </c>
      <c r="C61" s="15">
        <v>43527811961</v>
      </c>
      <c r="D61" s="13">
        <v>33990667299</v>
      </c>
      <c r="E61" s="6">
        <v>0</v>
      </c>
      <c r="F61" s="6">
        <v>53095413</v>
      </c>
      <c r="G61" s="6">
        <v>-381578916</v>
      </c>
      <c r="H61" s="6">
        <f t="shared" si="5"/>
        <v>-328483503</v>
      </c>
      <c r="I61" s="13">
        <f t="shared" si="10"/>
        <v>33662183796</v>
      </c>
      <c r="K61" s="6">
        <v>9884188550</v>
      </c>
      <c r="L61" s="6">
        <v>-18560385</v>
      </c>
      <c r="M61" s="13">
        <f t="shared" si="7"/>
        <v>9865628165</v>
      </c>
      <c r="N61" s="13">
        <f t="shared" si="8"/>
        <v>43527811961</v>
      </c>
      <c r="O61" s="6">
        <f t="shared" si="9"/>
        <v>9537144662</v>
      </c>
    </row>
    <row r="62" spans="1:15" x14ac:dyDescent="0.2">
      <c r="A62" s="8">
        <v>44926</v>
      </c>
      <c r="B62" s="14">
        <v>44553543212</v>
      </c>
      <c r="C62" s="15">
        <v>44693963701</v>
      </c>
      <c r="D62" s="13">
        <v>23581809113</v>
      </c>
      <c r="E62" s="6">
        <v>0</v>
      </c>
      <c r="F62" s="6">
        <v>48991340</v>
      </c>
      <c r="G62" s="6">
        <v>33056600</v>
      </c>
      <c r="H62" s="6">
        <f t="shared" si="5"/>
        <v>82047940</v>
      </c>
      <c r="I62" s="13">
        <f t="shared" si="10"/>
        <v>23663857053</v>
      </c>
      <c r="J62" s="13">
        <v>10523715583</v>
      </c>
      <c r="K62" s="6">
        <v>10526235601</v>
      </c>
      <c r="L62" s="6">
        <v>-19844536</v>
      </c>
      <c r="M62" s="13">
        <f>SUM(J62:L62)</f>
        <v>21030106648</v>
      </c>
      <c r="N62" s="13">
        <f t="shared" si="8"/>
        <v>44693963701</v>
      </c>
      <c r="O62" s="6">
        <f t="shared" si="9"/>
        <v>21112154588</v>
      </c>
    </row>
    <row r="63" spans="1:15" x14ac:dyDescent="0.2">
      <c r="A63" s="8">
        <v>44895</v>
      </c>
      <c r="B63" s="14">
        <v>43238943390</v>
      </c>
      <c r="C63" s="15">
        <v>43404329767</v>
      </c>
      <c r="D63" s="13">
        <v>12761828760</v>
      </c>
      <c r="E63" s="6">
        <v>0</v>
      </c>
      <c r="F63" s="6">
        <v>47563511</v>
      </c>
      <c r="G63" s="6">
        <v>-17676082</v>
      </c>
      <c r="H63" s="6">
        <f t="shared" si="5"/>
        <v>29887429</v>
      </c>
      <c r="I63" s="13">
        <f t="shared" si="10"/>
        <v>12791716189</v>
      </c>
      <c r="J63" s="13">
        <v>19419592530</v>
      </c>
      <c r="K63" s="6">
        <v>11159111371</v>
      </c>
      <c r="L63" s="6">
        <v>33909677</v>
      </c>
      <c r="M63" s="13">
        <f>SUM(J63:L63)</f>
        <v>30612613578</v>
      </c>
      <c r="N63" s="13">
        <f t="shared" si="8"/>
        <v>43404329767</v>
      </c>
      <c r="O63" s="6">
        <f t="shared" si="9"/>
        <v>30642501007</v>
      </c>
    </row>
    <row r="64" spans="1:15" x14ac:dyDescent="0.2">
      <c r="A64" s="8">
        <v>44865</v>
      </c>
      <c r="B64" s="14">
        <v>43507961021</v>
      </c>
      <c r="C64" s="15">
        <v>43754958453</v>
      </c>
      <c r="D64" s="13">
        <v>35720049340</v>
      </c>
      <c r="E64" s="6">
        <v>0</v>
      </c>
      <c r="F64" s="6">
        <v>8060519623</v>
      </c>
      <c r="G64" s="6">
        <v>-25610510</v>
      </c>
      <c r="H64" s="6">
        <f t="shared" si="5"/>
        <v>8034909113</v>
      </c>
      <c r="I64" s="13">
        <f t="shared" si="10"/>
        <v>43754958453</v>
      </c>
      <c r="K64" s="6">
        <v>0</v>
      </c>
      <c r="L64" s="6">
        <v>0</v>
      </c>
      <c r="M64" s="13">
        <v>0</v>
      </c>
      <c r="N64" s="13">
        <f t="shared" si="8"/>
        <v>43754958453</v>
      </c>
      <c r="O64" s="6">
        <f t="shared" si="9"/>
        <v>8034909113</v>
      </c>
    </row>
    <row r="65" spans="1:15" x14ac:dyDescent="0.2">
      <c r="A65" s="8">
        <v>44834</v>
      </c>
      <c r="B65" s="14">
        <v>47261819834</v>
      </c>
      <c r="C65" s="15">
        <v>47479523936</v>
      </c>
      <c r="D65" s="13">
        <v>38266665983</v>
      </c>
      <c r="E65" s="6">
        <v>0</v>
      </c>
      <c r="F65" s="6">
        <v>9233357063</v>
      </c>
      <c r="G65" s="6">
        <v>-20499110</v>
      </c>
      <c r="H65" s="6">
        <f t="shared" si="5"/>
        <v>9212857953</v>
      </c>
      <c r="I65" s="13">
        <f t="shared" si="10"/>
        <v>47479523936</v>
      </c>
      <c r="K65" s="6">
        <v>0</v>
      </c>
      <c r="L65" s="6">
        <v>0</v>
      </c>
      <c r="M65" s="13">
        <v>0</v>
      </c>
      <c r="N65" s="13">
        <f t="shared" si="8"/>
        <v>47479523936</v>
      </c>
      <c r="O65" s="6">
        <f t="shared" si="9"/>
        <v>9212857953</v>
      </c>
    </row>
    <row r="66" spans="1:15" x14ac:dyDescent="0.2">
      <c r="A66" s="8">
        <v>44804</v>
      </c>
      <c r="B66" s="14">
        <v>52258056105</v>
      </c>
      <c r="C66" s="15">
        <v>52430816552</v>
      </c>
      <c r="D66" s="13">
        <v>43502009230</v>
      </c>
      <c r="E66" s="6">
        <v>0</v>
      </c>
      <c r="F66" s="6">
        <v>0</v>
      </c>
      <c r="G66" s="6">
        <v>0</v>
      </c>
      <c r="H66" s="6">
        <f t="shared" ref="H66:H97" si="11">F66+G66</f>
        <v>0</v>
      </c>
      <c r="I66" s="13">
        <f t="shared" si="10"/>
        <v>43502009230</v>
      </c>
      <c r="K66" s="6">
        <v>10485847973</v>
      </c>
      <c r="L66" s="6">
        <v>-1557040651</v>
      </c>
      <c r="M66" s="13">
        <v>0</v>
      </c>
      <c r="N66" s="13">
        <f>O66+D66</f>
        <v>52430816552</v>
      </c>
      <c r="O66" s="6">
        <f>K66+L66</f>
        <v>8928807322</v>
      </c>
    </row>
    <row r="67" spans="1:15" x14ac:dyDescent="0.2">
      <c r="A67" s="8">
        <v>44773</v>
      </c>
      <c r="B67" s="14">
        <v>54488837404</v>
      </c>
      <c r="C67" s="15">
        <v>54618693479</v>
      </c>
      <c r="D67" s="13">
        <v>42373557970</v>
      </c>
      <c r="E67" s="6">
        <v>0</v>
      </c>
      <c r="F67" s="6">
        <v>0</v>
      </c>
      <c r="G67" s="6">
        <v>0</v>
      </c>
      <c r="H67" s="6">
        <f t="shared" si="11"/>
        <v>0</v>
      </c>
      <c r="I67" s="13">
        <f t="shared" si="10"/>
        <v>42373557970</v>
      </c>
      <c r="K67" s="6">
        <v>12169359634</v>
      </c>
      <c r="L67" s="6">
        <v>75775875</v>
      </c>
      <c r="M67" s="13">
        <v>0</v>
      </c>
      <c r="N67" s="13">
        <f>O67+D67</f>
        <v>54618693479</v>
      </c>
      <c r="O67" s="6">
        <f>K67+L67</f>
        <v>12245135509</v>
      </c>
    </row>
    <row r="68" spans="1:15" x14ac:dyDescent="0.2">
      <c r="A68" s="8">
        <v>44742</v>
      </c>
      <c r="B68" s="14">
        <v>55569660586</v>
      </c>
      <c r="C68" s="15">
        <v>55569660586</v>
      </c>
    </row>
    <row r="69" spans="1:15" x14ac:dyDescent="0.2">
      <c r="A69" s="8">
        <v>44712</v>
      </c>
      <c r="B69" s="14">
        <v>54005995420</v>
      </c>
      <c r="C69" s="15">
        <v>54005995420</v>
      </c>
    </row>
    <row r="70" spans="1:15" x14ac:dyDescent="0.2">
      <c r="A70" s="8">
        <v>44681</v>
      </c>
      <c r="B70" s="14">
        <v>49260105739</v>
      </c>
      <c r="C70" s="14">
        <v>49260105739</v>
      </c>
    </row>
    <row r="71" spans="1:15" x14ac:dyDescent="0.2">
      <c r="A71" s="8">
        <v>44651</v>
      </c>
      <c r="B71" s="14">
        <v>51388555903</v>
      </c>
      <c r="C71" s="14">
        <v>51388555903</v>
      </c>
    </row>
    <row r="72" spans="1:15" x14ac:dyDescent="0.2">
      <c r="A72" s="8">
        <v>44620</v>
      </c>
      <c r="B72" s="14">
        <v>53496850808</v>
      </c>
      <c r="C72" s="14">
        <v>53496850808</v>
      </c>
    </row>
    <row r="73" spans="1:15" x14ac:dyDescent="0.2">
      <c r="A73" s="8">
        <v>44592</v>
      </c>
      <c r="B73" s="14">
        <v>50031478777</v>
      </c>
      <c r="C73" s="14">
        <v>50031478777</v>
      </c>
    </row>
    <row r="74" spans="1:15" x14ac:dyDescent="0.2">
      <c r="A74" s="8">
        <v>44561</v>
      </c>
      <c r="B74" s="14">
        <v>42416160651</v>
      </c>
    </row>
    <row r="75" spans="1:15" x14ac:dyDescent="0.2">
      <c r="A75" s="8">
        <v>44530</v>
      </c>
      <c r="B75" s="14">
        <v>38744141217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74"/>
  <sheetViews>
    <sheetView topLeftCell="Q1" workbookViewId="0">
      <pane ySplit="1" topLeftCell="A30" activePane="bottomLeft" state="frozen"/>
      <selection pane="bottomLeft" activeCell="AD42" sqref="AD42"/>
    </sheetView>
  </sheetViews>
  <sheetFormatPr baseColWidth="10" defaultColWidth="8.83203125" defaultRowHeight="15" x14ac:dyDescent="0.2"/>
  <cols>
    <col min="1" max="1" width="10.5" style="25" bestFit="1" customWidth="1"/>
    <col min="2" max="2" width="12.1640625" style="16" bestFit="1" customWidth="1"/>
    <col min="3" max="3" width="8.5" style="16" bestFit="1" customWidth="1"/>
    <col min="4" max="4" width="7.1640625" style="16" bestFit="1" customWidth="1"/>
    <col min="5" max="5" width="27" style="16" bestFit="1" customWidth="1"/>
    <col min="6" max="6" width="15.5" style="16" bestFit="1" customWidth="1"/>
    <col min="7" max="7" width="20.1640625" style="16" bestFit="1" customWidth="1"/>
    <col min="8" max="8" width="19" style="18" customWidth="1"/>
    <col min="9" max="9" width="19.1640625" style="16" bestFit="1" customWidth="1"/>
    <col min="10" max="10" width="21.5" style="6" bestFit="1" customWidth="1"/>
    <col min="11" max="11" width="25.33203125" style="18" bestFit="1" customWidth="1"/>
    <col min="12" max="12" width="22.5" bestFit="1" customWidth="1"/>
    <col min="13" max="13" width="41.83203125" bestFit="1" customWidth="1"/>
    <col min="14" max="14" width="10.6640625" bestFit="1" customWidth="1"/>
    <col min="15" max="15" width="41.83203125" customWidth="1"/>
    <col min="16" max="16" width="12.1640625" bestFit="1" customWidth="1"/>
    <col min="17" max="17" width="12.1640625" customWidth="1"/>
    <col min="18" max="18" width="24.1640625" bestFit="1" customWidth="1"/>
    <col min="19" max="20" width="24.1640625" customWidth="1"/>
    <col min="22" max="22" width="14.1640625" bestFit="1" customWidth="1"/>
    <col min="23" max="23" width="23.6640625" bestFit="1" customWidth="1"/>
    <col min="24" max="24" width="23.83203125" bestFit="1" customWidth="1"/>
    <col min="25" max="25" width="12.6640625" bestFit="1" customWidth="1"/>
    <col min="26" max="26" width="12.1640625" bestFit="1" customWidth="1"/>
    <col min="27" max="27" width="32.5" bestFit="1" customWidth="1"/>
    <col min="28" max="28" width="27" bestFit="1" customWidth="1"/>
    <col min="30" max="30" width="19.83203125" bestFit="1" customWidth="1"/>
  </cols>
  <sheetData>
    <row r="1" spans="1:30" s="22" customFormat="1" x14ac:dyDescent="0.2">
      <c r="A1" s="25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0" t="s">
        <v>7</v>
      </c>
      <c r="I1" s="21" t="s">
        <v>33</v>
      </c>
      <c r="J1" s="22" t="s">
        <v>8</v>
      </c>
      <c r="K1" s="20" t="s">
        <v>34</v>
      </c>
      <c r="L1" s="22" t="s">
        <v>9</v>
      </c>
      <c r="M1" s="22" t="s">
        <v>49</v>
      </c>
      <c r="N1" s="22" t="s">
        <v>171</v>
      </c>
      <c r="O1" s="22" t="s">
        <v>211</v>
      </c>
      <c r="P1" t="s">
        <v>172</v>
      </c>
      <c r="Q1" s="22" t="s">
        <v>211</v>
      </c>
      <c r="R1" t="s">
        <v>210</v>
      </c>
      <c r="S1" s="22" t="s">
        <v>219</v>
      </c>
      <c r="T1"/>
    </row>
    <row r="2" spans="1:30" x14ac:dyDescent="0.2">
      <c r="A2" s="25" t="s">
        <v>11</v>
      </c>
      <c r="B2" s="23">
        <f>'Circle Transparency Inputs'!D2/'Circle Transparency Inputs'!C2</f>
        <v>0.44039849186650637</v>
      </c>
      <c r="C2" s="23">
        <f>'Circle Transparency Inputs'!E2/'Circle Transparency Inputs'!C2</f>
        <v>0.44083023703634733</v>
      </c>
      <c r="D2" s="23">
        <f>'Circle Transparency Inputs'!F2/'Circle Transparency Inputs'!C2</f>
        <v>1.6354795898070294E-2</v>
      </c>
      <c r="E2" s="23">
        <v>4.4200000000000003E-2</v>
      </c>
      <c r="F2" s="23">
        <v>4.4499999999999998E-2</v>
      </c>
      <c r="G2" s="23">
        <v>0</v>
      </c>
      <c r="H2" s="19">
        <f>('Circle Transparency Inputs'!B3+'Circle Transparency Inputs'!B2)/2</f>
        <v>61133937583.5</v>
      </c>
      <c r="I2" s="23">
        <f>(B2*E2)+(C2*F2)+(D2*G2)</f>
        <v>3.9082558888617037E-2</v>
      </c>
      <c r="J2" s="19">
        <f>(H2)*(I2)</f>
        <v>2389270715.7001772</v>
      </c>
      <c r="K2" s="19">
        <f>J2*L2</f>
        <v>28671248588.402126</v>
      </c>
      <c r="L2" s="24">
        <v>12</v>
      </c>
      <c r="M2" s="23">
        <f>(B2*E2)+(C2*(F2+0.0067))+(D2*G2)</f>
        <v>4.2036121476760564E-2</v>
      </c>
      <c r="N2" s="23" t="str">
        <f>TEXT(A2, "YYYY-MM")</f>
        <v>2025-06</v>
      </c>
      <c r="O2" s="72">
        <f>VALUE(LEFT(N2,4))</f>
        <v>2025</v>
      </c>
      <c r="P2" t="s">
        <v>174</v>
      </c>
      <c r="Q2" t="str">
        <f>LEFT(P2,4)</f>
        <v>2022</v>
      </c>
      <c r="R2">
        <v>1.7843558152571239E-2</v>
      </c>
      <c r="S2">
        <v>55029248995</v>
      </c>
      <c r="AD2" t="s">
        <v>48</v>
      </c>
    </row>
    <row r="3" spans="1:30" x14ac:dyDescent="0.2">
      <c r="A3" s="25">
        <v>45820</v>
      </c>
      <c r="B3" s="23">
        <f>'Circle Transparency Inputs'!D3/'Circle Transparency Inputs'!C3</f>
        <v>0.40729260558869818</v>
      </c>
      <c r="C3" s="23">
        <f>'Circle Transparency Inputs'!E3/'Circle Transparency Inputs'!C3</f>
        <v>0.44089884211576735</v>
      </c>
      <c r="D3" s="23">
        <f>'Circle Transparency Inputs'!F3/'Circle Transparency Inputs'!C3</f>
        <v>1.640351886431762E-2</v>
      </c>
      <c r="E3" s="23">
        <v>4.4200000000000003E-2</v>
      </c>
      <c r="F3" s="23">
        <v>4.2799999999999998E-2</v>
      </c>
      <c r="G3" s="23">
        <v>0</v>
      </c>
      <c r="H3" s="19">
        <f>('Circle Transparency Inputs'!B4+'Circle Transparency Inputs'!B3)/2</f>
        <v>60909341656</v>
      </c>
      <c r="I3" s="23">
        <f t="shared" ref="I3:I66" si="0">(B3*E3)+(C3*F3)+(D3*G3)</f>
        <v>3.6872803609575303E-2</v>
      </c>
      <c r="J3" s="19">
        <f>(H3)*(I3)</f>
        <v>2245898192.8702121</v>
      </c>
      <c r="K3" s="19">
        <f>J3*L3</f>
        <v>26950778314.442543</v>
      </c>
      <c r="L3">
        <v>12</v>
      </c>
      <c r="M3" s="23">
        <f t="shared" ref="M3:M66" si="1">(B3*E3)+(C3*(F3+0.0067))+(D3*G3)</f>
        <v>3.9826825851750944E-2</v>
      </c>
      <c r="N3" s="23" t="str">
        <f t="shared" ref="N3:N66" si="2">TEXT(A3, "YYYY-MM")</f>
        <v>2025-06</v>
      </c>
      <c r="O3" s="72">
        <f t="shared" ref="O3:O66" si="3">VALUE(LEFT(N3,4))</f>
        <v>2025</v>
      </c>
      <c r="P3" t="s">
        <v>175</v>
      </c>
      <c r="Q3" t="str">
        <f t="shared" ref="Q3:Q37" si="4">LEFT(P3,4)</f>
        <v>2022</v>
      </c>
      <c r="R3">
        <v>2.25679233868591E-2</v>
      </c>
      <c r="S3">
        <v>53373446754.5</v>
      </c>
      <c r="Y3" t="s">
        <v>35</v>
      </c>
      <c r="AD3" s="16">
        <f>SUMPRODUCT(I8:I13,H8:H13)/SUM(H8:H13)</f>
        <v>3.8771515933256347E-2</v>
      </c>
    </row>
    <row r="4" spans="1:30" x14ac:dyDescent="0.2">
      <c r="A4" s="25">
        <v>45807</v>
      </c>
      <c r="B4" s="23">
        <f>'Circle Transparency Inputs'!D4/'Circle Transparency Inputs'!C4</f>
        <v>0.4650244819697269</v>
      </c>
      <c r="C4" s="23">
        <f>'Circle Transparency Inputs'!E4/'Circle Transparency Inputs'!C4</f>
        <v>0.41677901204144724</v>
      </c>
      <c r="D4" s="23">
        <f>'Circle Transparency Inputs'!F4/'Circle Transparency Inputs'!C4</f>
        <v>1.6480545299399414E-2</v>
      </c>
      <c r="E4" s="16">
        <v>4.36E-2</v>
      </c>
      <c r="F4" s="16">
        <v>4.3499999999999997E-2</v>
      </c>
      <c r="G4" s="23">
        <v>0</v>
      </c>
      <c r="H4" s="19">
        <f>('Circle Transparency Inputs'!B5+'Circle Transparency Inputs'!B4)/2</f>
        <v>61092104078</v>
      </c>
      <c r="I4" s="23">
        <f t="shared" si="0"/>
        <v>3.8404954437683048E-2</v>
      </c>
      <c r="J4" s="19">
        <f>(H4)*(I4)</f>
        <v>2346239473.6177807</v>
      </c>
      <c r="K4" s="19">
        <f>J4*L4</f>
        <v>28154873683.413368</v>
      </c>
      <c r="L4">
        <v>12</v>
      </c>
      <c r="M4" s="23">
        <f t="shared" si="1"/>
        <v>4.1197373818360743E-2</v>
      </c>
      <c r="N4" s="23" t="str">
        <f t="shared" si="2"/>
        <v>2025-05</v>
      </c>
      <c r="O4" s="72">
        <f t="shared" si="3"/>
        <v>2025</v>
      </c>
      <c r="P4" t="s">
        <v>176</v>
      </c>
      <c r="Q4" t="str">
        <f t="shared" si="4"/>
        <v>2022</v>
      </c>
      <c r="R4">
        <v>2.5951958707790022E-2</v>
      </c>
      <c r="S4">
        <v>49759937969.5</v>
      </c>
      <c r="Y4" t="s">
        <v>36</v>
      </c>
    </row>
    <row r="5" spans="1:30" x14ac:dyDescent="0.2">
      <c r="A5" s="25">
        <f>'Circle Transparency Inputs'!A5</f>
        <v>45804</v>
      </c>
      <c r="B5" s="23">
        <f>'Circle Transparency Inputs'!D5/'Circle Transparency Inputs'!C5</f>
        <v>0.46758190879280292</v>
      </c>
      <c r="C5" s="23">
        <f>'Circle Transparency Inputs'!E5/'Circle Transparency Inputs'!C5</f>
        <v>0.43235753904661212</v>
      </c>
      <c r="D5" s="23">
        <f>'Circle Transparency Inputs'!F5/'Circle Transparency Inputs'!C5</f>
        <v>1.6300960425523214E-2</v>
      </c>
      <c r="E5" s="16">
        <v>4.36E-2</v>
      </c>
      <c r="F5" s="16">
        <v>4.3099999999999999E-2</v>
      </c>
      <c r="G5" s="23">
        <v>0</v>
      </c>
      <c r="H5" s="19">
        <f>('Circle Transparency Inputs'!B6+'Circle Transparency Inputs'!B5)/2</f>
        <v>61356815568</v>
      </c>
      <c r="I5" s="23">
        <f t="shared" si="0"/>
        <v>3.9021181156275189E-2</v>
      </c>
      <c r="J5" s="19">
        <f>(H5)*(I5)</f>
        <v>2394215415.4510937</v>
      </c>
      <c r="K5" s="19">
        <f>J5*L5</f>
        <v>28730584985.413124</v>
      </c>
      <c r="L5">
        <v>12</v>
      </c>
      <c r="M5" s="23">
        <f t="shared" si="1"/>
        <v>4.1917976667887491E-2</v>
      </c>
      <c r="N5" s="23" t="str">
        <f t="shared" si="2"/>
        <v>2025-05</v>
      </c>
      <c r="O5" s="72">
        <f t="shared" si="3"/>
        <v>2025</v>
      </c>
      <c r="P5" t="s">
        <v>177</v>
      </c>
      <c r="Q5" t="str">
        <f t="shared" si="4"/>
        <v>2022</v>
      </c>
      <c r="R5">
        <v>3.1593354406744267E-2</v>
      </c>
      <c r="S5">
        <v>45384890427.5</v>
      </c>
      <c r="Y5" t="s">
        <v>37</v>
      </c>
    </row>
    <row r="6" spans="1:30" x14ac:dyDescent="0.2">
      <c r="A6" s="25">
        <f>'Circle Transparency Inputs'!A6</f>
        <v>45777</v>
      </c>
      <c r="B6" s="23">
        <f>'Circle Transparency Inputs'!D6/'Circle Transparency Inputs'!C6</f>
        <v>0.41448663223858173</v>
      </c>
      <c r="C6" s="23">
        <f>'Circle Transparency Inputs'!E6/'Circle Transparency Inputs'!C6</f>
        <v>0.51138847371969609</v>
      </c>
      <c r="D6" s="23">
        <f>'Circle Transparency Inputs'!F6/'Circle Transparency Inputs'!C6</f>
        <v>1.6333277501387775E-2</v>
      </c>
      <c r="E6" s="16">
        <v>4.3200000000000002E-2</v>
      </c>
      <c r="F6" s="16">
        <v>4.41E-2</v>
      </c>
      <c r="G6" s="23">
        <v>0</v>
      </c>
      <c r="H6" s="19">
        <f>('Circle Transparency Inputs'!B7+'Circle Transparency Inputs'!B6)/2</f>
        <v>61092020281</v>
      </c>
      <c r="I6" s="23">
        <f t="shared" si="0"/>
        <v>4.0458054203745333E-2</v>
      </c>
      <c r="J6" s="19">
        <f t="shared" ref="J6:J69" si="5">(H6)*(I6)</f>
        <v>2471664267.9450073</v>
      </c>
      <c r="K6" s="19">
        <f t="shared" ref="K6:K69" si="6">J6*L6</f>
        <v>29659971215.340088</v>
      </c>
      <c r="L6">
        <v>12</v>
      </c>
      <c r="M6" s="23">
        <f t="shared" si="1"/>
        <v>4.3884356977667294E-2</v>
      </c>
      <c r="N6" s="23" t="str">
        <f t="shared" si="2"/>
        <v>2025-04</v>
      </c>
      <c r="O6" s="72">
        <f t="shared" si="3"/>
        <v>2025</v>
      </c>
      <c r="P6" t="s">
        <v>178</v>
      </c>
      <c r="Q6" t="str">
        <f t="shared" si="4"/>
        <v>2022</v>
      </c>
      <c r="R6">
        <v>1.2701751308947934E-2</v>
      </c>
      <c r="S6">
        <v>43373452205.5</v>
      </c>
      <c r="Y6" t="s">
        <v>38</v>
      </c>
    </row>
    <row r="7" spans="1:30" x14ac:dyDescent="0.2">
      <c r="A7" s="25">
        <f>'Circle Transparency Inputs'!A7</f>
        <v>45750</v>
      </c>
      <c r="B7" s="23">
        <f>'Circle Transparency Inputs'!D7/'Circle Transparency Inputs'!C7</f>
        <v>0.39496191582254525</v>
      </c>
      <c r="C7" s="23">
        <f>'Circle Transparency Inputs'!E7/'Circle Transparency Inputs'!C7</f>
        <v>0.49986673724557718</v>
      </c>
      <c r="D7" s="23">
        <f>'Circle Transparency Inputs'!F7/'Circle Transparency Inputs'!C7</f>
        <v>1.645241547032622E-2</v>
      </c>
      <c r="E7" s="16">
        <v>4.3200000000000002E-2</v>
      </c>
      <c r="F7" s="16">
        <v>4.3900000000000002E-2</v>
      </c>
      <c r="G7" s="23">
        <v>0</v>
      </c>
      <c r="H7" s="19">
        <f>('Circle Transparency Inputs'!B8+'Circle Transparency Inputs'!B7)/2</f>
        <v>60373525323</v>
      </c>
      <c r="I7" s="23">
        <f t="shared" si="0"/>
        <v>3.9006504528614795E-2</v>
      </c>
      <c r="J7" s="19">
        <f t="shared" si="5"/>
        <v>2354960188.9200397</v>
      </c>
      <c r="K7" s="19">
        <f t="shared" si="6"/>
        <v>28259522267.040474</v>
      </c>
      <c r="L7">
        <v>12</v>
      </c>
      <c r="M7" s="23">
        <f t="shared" si="1"/>
        <v>4.235561166816016E-2</v>
      </c>
      <c r="N7" s="23" t="str">
        <f t="shared" si="2"/>
        <v>2025-04</v>
      </c>
      <c r="O7" s="72">
        <f t="shared" si="3"/>
        <v>2025</v>
      </c>
      <c r="P7" t="s">
        <v>179</v>
      </c>
      <c r="Q7" t="str">
        <f t="shared" si="4"/>
        <v>2022</v>
      </c>
      <c r="R7">
        <v>2.300460268427245E-2</v>
      </c>
      <c r="S7">
        <v>43896243301</v>
      </c>
      <c r="Y7" t="s">
        <v>39</v>
      </c>
    </row>
    <row r="8" spans="1:30" x14ac:dyDescent="0.2">
      <c r="A8" s="25">
        <f>'Circle Transparency Inputs'!A8</f>
        <v>45747</v>
      </c>
      <c r="B8" s="23">
        <f>'Circle Transparency Inputs'!D8/'Circle Transparency Inputs'!C8</f>
        <v>0.41409517330360873</v>
      </c>
      <c r="C8" s="23">
        <f>'Circle Transparency Inputs'!E8/'Circle Transparency Inputs'!C8</f>
        <v>0.51323512861816556</v>
      </c>
      <c r="D8" s="23">
        <f>'Circle Transparency Inputs'!F8/'Circle Transparency Inputs'!C8</f>
        <v>1.6724485811451563E-2</v>
      </c>
      <c r="E8" s="16">
        <v>4.3400000000000001E-2</v>
      </c>
      <c r="F8" s="16">
        <v>4.41E-2</v>
      </c>
      <c r="G8" s="23">
        <v>0</v>
      </c>
      <c r="H8" s="19">
        <f>('Circle Transparency Inputs'!B9+'Circle Transparency Inputs'!B8)/2</f>
        <v>59529232159</v>
      </c>
      <c r="I8" s="23">
        <f t="shared" si="0"/>
        <v>4.0605399693437724E-2</v>
      </c>
      <c r="J8" s="19">
        <f t="shared" si="5"/>
        <v>2417208265.2596416</v>
      </c>
      <c r="K8" s="19">
        <f t="shared" si="6"/>
        <v>29006499183.1157</v>
      </c>
      <c r="L8">
        <v>12</v>
      </c>
      <c r="M8" s="23">
        <f t="shared" si="1"/>
        <v>4.4044075055179432E-2</v>
      </c>
      <c r="N8" s="23" t="str">
        <f t="shared" si="2"/>
        <v>2025-03</v>
      </c>
      <c r="O8" s="72">
        <f t="shared" si="3"/>
        <v>2025</v>
      </c>
      <c r="P8" t="s">
        <v>180</v>
      </c>
      <c r="Q8" t="str">
        <f t="shared" si="4"/>
        <v>2023</v>
      </c>
      <c r="R8">
        <v>3.6991711921101011E-2</v>
      </c>
      <c r="S8">
        <v>43450558037.5</v>
      </c>
      <c r="Y8" t="s">
        <v>40</v>
      </c>
    </row>
    <row r="9" spans="1:30" x14ac:dyDescent="0.2">
      <c r="A9" s="25">
        <f>'Circle Transparency Inputs'!A9</f>
        <v>45735</v>
      </c>
      <c r="B9" s="23">
        <f>'Circle Transparency Inputs'!D9/'Circle Transparency Inputs'!C9</f>
        <v>0.37567322676321002</v>
      </c>
      <c r="C9" s="23">
        <f>'Circle Transparency Inputs'!E9/'Circle Transparency Inputs'!C9</f>
        <v>0.52478890320381966</v>
      </c>
      <c r="D9" s="23">
        <f>'Circle Transparency Inputs'!F9/'Circle Transparency Inputs'!C9</f>
        <v>1.6919948657153221E-2</v>
      </c>
      <c r="E9" s="16">
        <v>4.3400000000000001E-2</v>
      </c>
      <c r="F9" s="16">
        <v>4.2900000000000001E-2</v>
      </c>
      <c r="G9" s="23">
        <v>0</v>
      </c>
      <c r="H9" s="19">
        <f>('Circle Transparency Inputs'!B10+'Circle Transparency Inputs'!B9)/2</f>
        <v>57683505576.5</v>
      </c>
      <c r="I9" s="23">
        <f t="shared" si="0"/>
        <v>3.8817661988967175E-2</v>
      </c>
      <c r="J9" s="19">
        <f t="shared" si="5"/>
        <v>2239138821.8072801</v>
      </c>
      <c r="K9" s="19">
        <f t="shared" si="6"/>
        <v>26869665861.687363</v>
      </c>
      <c r="L9">
        <v>12</v>
      </c>
      <c r="M9" s="23">
        <f t="shared" si="1"/>
        <v>4.2333747640432767E-2</v>
      </c>
      <c r="N9" s="23" t="str">
        <f t="shared" si="2"/>
        <v>2025-03</v>
      </c>
      <c r="O9" s="72">
        <f t="shared" si="3"/>
        <v>2025</v>
      </c>
      <c r="P9" t="s">
        <v>181</v>
      </c>
      <c r="Q9" t="str">
        <f t="shared" si="4"/>
        <v>2023</v>
      </c>
      <c r="R9">
        <v>3.8665148607011729E-2</v>
      </c>
      <c r="S9">
        <v>41977467512</v>
      </c>
      <c r="Y9" t="s">
        <v>41</v>
      </c>
    </row>
    <row r="10" spans="1:30" x14ac:dyDescent="0.2">
      <c r="A10" s="25">
        <f>'Circle Transparency Inputs'!A10</f>
        <v>45716</v>
      </c>
      <c r="B10" s="23">
        <f>'Circle Transparency Inputs'!D10/'Circle Transparency Inputs'!C10</f>
        <v>0.39125823701477858</v>
      </c>
      <c r="C10" s="23">
        <f>'Circle Transparency Inputs'!E10/'Circle Transparency Inputs'!C10</f>
        <v>0.48754911435756604</v>
      </c>
      <c r="D10" s="23">
        <f>'Circle Transparency Inputs'!F10/'Circle Transparency Inputs'!C10</f>
        <v>1.7812436473582004E-2</v>
      </c>
      <c r="E10" s="16">
        <v>4.3299999999999998E-2</v>
      </c>
      <c r="F10" s="16">
        <v>4.3900000000000002E-2</v>
      </c>
      <c r="G10" s="23">
        <v>0</v>
      </c>
      <c r="H10" s="19">
        <f>('Circle Transparency Inputs'!B11+'Circle Transparency Inputs'!B10)/2</f>
        <v>55615656459.5</v>
      </c>
      <c r="I10" s="23">
        <f t="shared" si="0"/>
        <v>3.834488778303706E-2</v>
      </c>
      <c r="J10" s="19">
        <f t="shared" si="5"/>
        <v>2132576105.9194677</v>
      </c>
      <c r="K10" s="19">
        <f t="shared" si="6"/>
        <v>25590913271.033611</v>
      </c>
      <c r="L10">
        <v>12</v>
      </c>
      <c r="M10" s="23">
        <f t="shared" si="1"/>
        <v>4.1611466849232753E-2</v>
      </c>
      <c r="N10" s="23" t="str">
        <f t="shared" si="2"/>
        <v>2025-02</v>
      </c>
      <c r="O10" s="72">
        <f t="shared" si="3"/>
        <v>2025</v>
      </c>
      <c r="P10" t="s">
        <v>182</v>
      </c>
      <c r="Q10" t="str">
        <f t="shared" si="4"/>
        <v>2023</v>
      </c>
      <c r="R10">
        <v>4.2649018677756487E-2</v>
      </c>
      <c r="S10">
        <v>40602998551</v>
      </c>
      <c r="Y10" t="s">
        <v>42</v>
      </c>
    </row>
    <row r="11" spans="1:30" x14ac:dyDescent="0.2">
      <c r="A11" s="25">
        <f>'Circle Transparency Inputs'!A11</f>
        <v>45692</v>
      </c>
      <c r="B11" s="23">
        <f>'Circle Transparency Inputs'!D11/'Circle Transparency Inputs'!C11</f>
        <v>0.38781352015062398</v>
      </c>
      <c r="C11" s="23">
        <f>'Circle Transparency Inputs'!E11/'Circle Transparency Inputs'!C11</f>
        <v>0.51514349788142122</v>
      </c>
      <c r="D11" s="23">
        <f>'Circle Transparency Inputs'!F11/'Circle Transparency Inputs'!C11</f>
        <v>1.8193633393203994E-2</v>
      </c>
      <c r="E11" s="16">
        <v>4.3299999999999998E-2</v>
      </c>
      <c r="F11" s="16">
        <v>4.3299999999999998E-2</v>
      </c>
      <c r="G11" s="23">
        <v>0</v>
      </c>
      <c r="H11" s="19">
        <f>('Circle Transparency Inputs'!B12+'Circle Transparency Inputs'!B11)/2</f>
        <v>54082967048.5</v>
      </c>
      <c r="I11" s="23">
        <f t="shared" si="0"/>
        <v>3.9098038880787556E-2</v>
      </c>
      <c r="J11" s="19">
        <f t="shared" si="5"/>
        <v>2114537948.4506052</v>
      </c>
      <c r="K11" s="19">
        <f t="shared" si="6"/>
        <v>25374455381.407261</v>
      </c>
      <c r="L11">
        <v>12</v>
      </c>
      <c r="M11" s="23">
        <f t="shared" si="1"/>
        <v>4.2549500316593075E-2</v>
      </c>
      <c r="N11" s="23" t="str">
        <f t="shared" si="2"/>
        <v>2025-02</v>
      </c>
      <c r="O11" s="72">
        <f t="shared" si="3"/>
        <v>2025</v>
      </c>
      <c r="P11" t="s">
        <v>183</v>
      </c>
      <c r="Q11" t="str">
        <f t="shared" si="4"/>
        <v>2023</v>
      </c>
      <c r="R11">
        <v>4.6203951413499714E-2</v>
      </c>
      <c r="S11">
        <v>31664686326.5</v>
      </c>
      <c r="Y11" t="s">
        <v>43</v>
      </c>
    </row>
    <row r="12" spans="1:30" x14ac:dyDescent="0.2">
      <c r="A12" s="25">
        <f>'Circle Transparency Inputs'!A12</f>
        <v>45688</v>
      </c>
      <c r="B12" s="23">
        <f>'Circle Transparency Inputs'!D12/'Circle Transparency Inputs'!C12</f>
        <v>0.39039778381492296</v>
      </c>
      <c r="C12" s="23">
        <f>'Circle Transparency Inputs'!E12/'Circle Transparency Inputs'!C12</f>
        <v>0.51801860630340435</v>
      </c>
      <c r="D12" s="23">
        <f>'Circle Transparency Inputs'!F12/'Circle Transparency Inputs'!C12</f>
        <v>1.8846251341928355E-2</v>
      </c>
      <c r="E12" s="16">
        <v>4.3400000000000001E-2</v>
      </c>
      <c r="F12" s="16">
        <v>4.3799999999999999E-2</v>
      </c>
      <c r="G12" s="23">
        <v>0</v>
      </c>
      <c r="H12" s="19">
        <f>('Circle Transparency Inputs'!B13+'Circle Transparency Inputs'!B12)/2</f>
        <v>49484248432</v>
      </c>
      <c r="I12" s="23">
        <f t="shared" si="0"/>
        <v>3.9632478773656762E-2</v>
      </c>
      <c r="J12" s="19">
        <f t="shared" si="5"/>
        <v>1961183425.611598</v>
      </c>
      <c r="K12" s="19">
        <f t="shared" si="6"/>
        <v>23534201107.339176</v>
      </c>
      <c r="L12">
        <v>12</v>
      </c>
      <c r="M12" s="23">
        <f t="shared" si="1"/>
        <v>4.3103203435889574E-2</v>
      </c>
      <c r="N12" s="23" t="str">
        <f t="shared" si="2"/>
        <v>2025-01</v>
      </c>
      <c r="O12" s="72">
        <f t="shared" si="3"/>
        <v>2025</v>
      </c>
      <c r="P12" t="s">
        <v>184</v>
      </c>
      <c r="Q12" t="str">
        <f t="shared" si="4"/>
        <v>2023</v>
      </c>
      <c r="R12">
        <v>4.2029073747304808E-2</v>
      </c>
      <c r="S12">
        <v>29467676552.5</v>
      </c>
      <c r="Y12" t="s">
        <v>44</v>
      </c>
    </row>
    <row r="13" spans="1:30" x14ac:dyDescent="0.2">
      <c r="A13" s="25">
        <f>'Circle Transparency Inputs'!A13</f>
        <v>45663</v>
      </c>
      <c r="B13" s="23">
        <f>'Circle Transparency Inputs'!D13/'Circle Transparency Inputs'!C13</f>
        <v>0.25983316870564288</v>
      </c>
      <c r="C13" s="23">
        <f>'Circle Transparency Inputs'!E13/'Circle Transparency Inputs'!C13</f>
        <v>0.56635153391506821</v>
      </c>
      <c r="D13" s="23">
        <f>'Circle Transparency Inputs'!F13/'Circle Transparency Inputs'!C13</f>
        <v>2.1840054797994318E-2</v>
      </c>
      <c r="E13" s="16">
        <v>4.3400000000000001E-2</v>
      </c>
      <c r="F13" s="16">
        <v>4.2700000000000002E-2</v>
      </c>
      <c r="G13" s="23">
        <v>0</v>
      </c>
      <c r="H13" s="19">
        <f>('Circle Transparency Inputs'!B14+'Circle Transparency Inputs'!B13)/2</f>
        <v>44803178491</v>
      </c>
      <c r="I13" s="23">
        <f t="shared" si="0"/>
        <v>3.5459970019998316E-2</v>
      </c>
      <c r="J13" s="19">
        <f t="shared" si="5"/>
        <v>1588719366.0914934</v>
      </c>
      <c r="K13" s="19">
        <f t="shared" si="6"/>
        <v>19064632393.097919</v>
      </c>
      <c r="L13">
        <v>12</v>
      </c>
      <c r="M13" s="23">
        <f t="shared" si="1"/>
        <v>3.9254525297229267E-2</v>
      </c>
      <c r="N13" s="23" t="str">
        <f t="shared" si="2"/>
        <v>2025-01</v>
      </c>
      <c r="O13" s="72">
        <f t="shared" si="3"/>
        <v>2025</v>
      </c>
      <c r="P13" t="s">
        <v>185</v>
      </c>
      <c r="Q13" t="str">
        <f t="shared" si="4"/>
        <v>2023</v>
      </c>
      <c r="R13">
        <v>4.2438638082735541E-2</v>
      </c>
      <c r="S13">
        <v>28514158000.25</v>
      </c>
      <c r="Y13" t="s">
        <v>45</v>
      </c>
    </row>
    <row r="14" spans="1:30" x14ac:dyDescent="0.2">
      <c r="A14" s="25">
        <f>'Circle Transparency Inputs'!A14</f>
        <v>45657</v>
      </c>
      <c r="B14" s="23">
        <f>'Circle Transparency Inputs'!D14/'Circle Transparency Inputs'!C14</f>
        <v>0.33667888018807435</v>
      </c>
      <c r="C14" s="23">
        <f>'Circle Transparency Inputs'!E14/'Circle Transparency Inputs'!C14</f>
        <v>0.49777418841825832</v>
      </c>
      <c r="D14" s="23">
        <f>'Circle Transparency Inputs'!F14/'Circle Transparency Inputs'!C14</f>
        <v>2.2904961160298078E-2</v>
      </c>
      <c r="E14" s="16">
        <v>4.3900000000000002E-2</v>
      </c>
      <c r="F14" s="16">
        <v>4.4900000000000002E-2</v>
      </c>
      <c r="G14" s="23">
        <v>0</v>
      </c>
      <c r="H14" s="19">
        <f>('Circle Transparency Inputs'!B15+'Circle Transparency Inputs'!B14)/2</f>
        <v>42226853984.5</v>
      </c>
      <c r="I14" s="23">
        <f t="shared" si="0"/>
        <v>3.7130263900236264E-2</v>
      </c>
      <c r="J14" s="19">
        <f t="shared" si="5"/>
        <v>1567894232.1212282</v>
      </c>
      <c r="K14" s="19">
        <f t="shared" si="6"/>
        <v>18814730785.454739</v>
      </c>
      <c r="L14">
        <v>12</v>
      </c>
      <c r="M14" s="23">
        <f t="shared" si="1"/>
        <v>4.0465350962638591E-2</v>
      </c>
      <c r="N14" s="23" t="str">
        <f t="shared" si="2"/>
        <v>2024-12</v>
      </c>
      <c r="O14" s="72">
        <f t="shared" si="3"/>
        <v>2024</v>
      </c>
      <c r="P14" t="s">
        <v>186</v>
      </c>
      <c r="Q14" t="str">
        <f t="shared" si="4"/>
        <v>2023</v>
      </c>
      <c r="R14">
        <v>4.7417534970428957E-2</v>
      </c>
      <c r="S14">
        <v>26760287053</v>
      </c>
      <c r="Y14" t="s">
        <v>46</v>
      </c>
    </row>
    <row r="15" spans="1:30" x14ac:dyDescent="0.2">
      <c r="A15" s="25">
        <f>'Circle Transparency Inputs'!A15</f>
        <v>45635</v>
      </c>
      <c r="B15" s="23">
        <f>'Circle Transparency Inputs'!D15/'Circle Transparency Inputs'!C15</f>
        <v>0.38162204669286554</v>
      </c>
      <c r="C15" s="23">
        <f>'Circle Transparency Inputs'!E15/'Circle Transparency Inputs'!C15</f>
        <v>0.45463121274679991</v>
      </c>
      <c r="D15" s="23">
        <f>'Circle Transparency Inputs'!F15/'Circle Transparency Inputs'!C15</f>
        <v>2.4605817751361225E-2</v>
      </c>
      <c r="E15" s="16">
        <v>4.3900000000000002E-2</v>
      </c>
      <c r="F15" s="16">
        <v>4.6300000000000001E-2</v>
      </c>
      <c r="G15" s="23">
        <v>0</v>
      </c>
      <c r="H15" s="19">
        <f>('Circle Transparency Inputs'!B16+'Circle Transparency Inputs'!B15)/2</f>
        <v>40166964065</v>
      </c>
      <c r="I15" s="23">
        <f t="shared" si="0"/>
        <v>3.7802632999993632E-2</v>
      </c>
      <c r="J15" s="19">
        <f t="shared" si="5"/>
        <v>1518417001.2731273</v>
      </c>
      <c r="K15" s="19">
        <f t="shared" si="6"/>
        <v>18221004015.277527</v>
      </c>
      <c r="L15">
        <v>12</v>
      </c>
      <c r="M15" s="23">
        <f t="shared" si="1"/>
        <v>4.0848662125397187E-2</v>
      </c>
      <c r="N15" s="23" t="str">
        <f t="shared" si="2"/>
        <v>2024-12</v>
      </c>
      <c r="O15" s="72">
        <f t="shared" si="3"/>
        <v>2024</v>
      </c>
      <c r="P15" t="s">
        <v>187</v>
      </c>
      <c r="Q15" t="str">
        <f t="shared" si="4"/>
        <v>2023</v>
      </c>
      <c r="R15">
        <v>4.9557523312089499E-2</v>
      </c>
      <c r="S15">
        <v>26172918036</v>
      </c>
      <c r="Y15" t="s">
        <v>47</v>
      </c>
    </row>
    <row r="16" spans="1:30" x14ac:dyDescent="0.2">
      <c r="A16" s="25">
        <f>'Circle Transparency Inputs'!A16</f>
        <v>45625</v>
      </c>
      <c r="B16" s="23">
        <f>'Circle Transparency Inputs'!D16/'Circle Transparency Inputs'!C16</f>
        <v>0.37188529681970089</v>
      </c>
      <c r="C16" s="23">
        <f>'Circle Transparency Inputs'!E16/'Circle Transparency Inputs'!C16</f>
        <v>0.44420290493861747</v>
      </c>
      <c r="D16" s="23">
        <f>'Circle Transparency Inputs'!F16/'Circle Transparency Inputs'!C16</f>
        <v>2.5222659677712391E-2</v>
      </c>
      <c r="E16" s="16">
        <v>4.6199999999999998E-2</v>
      </c>
      <c r="F16" s="16">
        <v>4.5900000000000003E-2</v>
      </c>
      <c r="G16" s="23">
        <v>0</v>
      </c>
      <c r="H16" s="19">
        <f>('Circle Transparency Inputs'!B17+'Circle Transparency Inputs'!B16)/2</f>
        <v>39574738395.5</v>
      </c>
      <c r="I16" s="23">
        <f t="shared" si="0"/>
        <v>3.7570014049752729E-2</v>
      </c>
      <c r="J16" s="19">
        <f t="shared" si="5"/>
        <v>1486823477.5342238</v>
      </c>
      <c r="K16" s="19">
        <f t="shared" si="6"/>
        <v>17841881730.410686</v>
      </c>
      <c r="L16">
        <v>12</v>
      </c>
      <c r="M16" s="23">
        <f t="shared" si="1"/>
        <v>4.0546173512841462E-2</v>
      </c>
      <c r="N16" s="23" t="str">
        <f t="shared" si="2"/>
        <v>2024-11</v>
      </c>
      <c r="O16" s="72">
        <f t="shared" si="3"/>
        <v>2024</v>
      </c>
      <c r="P16" t="s">
        <v>188</v>
      </c>
      <c r="Q16" t="str">
        <f t="shared" si="4"/>
        <v>2023</v>
      </c>
      <c r="R16">
        <v>5.1161694057537704E-2</v>
      </c>
      <c r="S16">
        <v>25811747744</v>
      </c>
    </row>
    <row r="17" spans="1:19" x14ac:dyDescent="0.2">
      <c r="A17" s="25">
        <f>'Circle Transparency Inputs'!A17</f>
        <v>45623</v>
      </c>
      <c r="B17" s="23">
        <f>'Circle Transparency Inputs'!D17/'Circle Transparency Inputs'!C17</f>
        <v>0.38293922855449131</v>
      </c>
      <c r="C17" s="23">
        <f>'Circle Transparency Inputs'!E17/'Circle Transparency Inputs'!C17</f>
        <v>0.4899806701006984</v>
      </c>
      <c r="D17" s="23">
        <f>'Circle Transparency Inputs'!F17/'Circle Transparency Inputs'!C17</f>
        <v>2.5345590711392498E-2</v>
      </c>
      <c r="E17" s="16">
        <v>4.6199999999999998E-2</v>
      </c>
      <c r="F17" s="16">
        <v>4.5699999999999998E-2</v>
      </c>
      <c r="G17" s="23">
        <v>0</v>
      </c>
      <c r="H17" s="19">
        <f>('Circle Transparency Inputs'!B18+'Circle Transparency Inputs'!B17)/2</f>
        <v>37042821207.5</v>
      </c>
      <c r="I17" s="23">
        <f t="shared" si="0"/>
        <v>4.0083908982819411E-2</v>
      </c>
      <c r="J17" s="19">
        <f t="shared" si="5"/>
        <v>1484821073.7482827</v>
      </c>
      <c r="K17" s="19">
        <f t="shared" si="6"/>
        <v>17817852884.979393</v>
      </c>
      <c r="L17">
        <v>12</v>
      </c>
      <c r="M17" s="23">
        <f t="shared" si="1"/>
        <v>4.3366779472494094E-2</v>
      </c>
      <c r="N17" s="23" t="str">
        <f t="shared" si="2"/>
        <v>2024-11</v>
      </c>
      <c r="O17" s="72">
        <f t="shared" si="3"/>
        <v>2024</v>
      </c>
      <c r="P17" t="s">
        <v>189</v>
      </c>
      <c r="Q17" t="str">
        <f t="shared" si="4"/>
        <v>2023</v>
      </c>
      <c r="R17">
        <v>4.9713010287540937E-2</v>
      </c>
      <c r="S17">
        <v>24989576949.5</v>
      </c>
    </row>
    <row r="18" spans="1:19" x14ac:dyDescent="0.2">
      <c r="A18" s="25">
        <f>'Circle Transparency Inputs'!A18</f>
        <v>45596</v>
      </c>
      <c r="B18" s="23">
        <f>'Circle Transparency Inputs'!D18/'Circle Transparency Inputs'!C18</f>
        <v>0.3065341246524983</v>
      </c>
      <c r="C18" s="23">
        <f>'Circle Transparency Inputs'!E18/'Circle Transparency Inputs'!C18</f>
        <v>0.54445376817228341</v>
      </c>
      <c r="D18" s="23">
        <f>'Circle Transparency Inputs'!F18/'Circle Transparency Inputs'!C18</f>
        <v>2.8922114354590481E-2</v>
      </c>
      <c r="E18" s="16">
        <v>4.7199999999999999E-2</v>
      </c>
      <c r="F18" s="16">
        <v>4.9000000000000002E-2</v>
      </c>
      <c r="G18" s="23">
        <v>0</v>
      </c>
      <c r="H18" s="19">
        <f>('Circle Transparency Inputs'!B19+'Circle Transparency Inputs'!B18)/2</f>
        <v>34966380691.5</v>
      </c>
      <c r="I18" s="23">
        <f t="shared" si="0"/>
        <v>4.1146645324039804E-2</v>
      </c>
      <c r="J18" s="19">
        <f t="shared" si="5"/>
        <v>1438749264.5785041</v>
      </c>
      <c r="K18" s="19">
        <f t="shared" si="6"/>
        <v>17264991174.942047</v>
      </c>
      <c r="L18">
        <v>12</v>
      </c>
      <c r="M18" s="23">
        <f t="shared" si="1"/>
        <v>4.4794485570794101E-2</v>
      </c>
      <c r="N18" s="23" t="str">
        <f t="shared" si="2"/>
        <v>2024-10</v>
      </c>
      <c r="O18" s="72">
        <f t="shared" si="3"/>
        <v>2024</v>
      </c>
      <c r="P18" t="s">
        <v>190</v>
      </c>
      <c r="Q18" t="str">
        <f t="shared" si="4"/>
        <v>2023</v>
      </c>
      <c r="R18">
        <v>4.7986173095446116E-2</v>
      </c>
      <c r="S18">
        <v>24298336691.25</v>
      </c>
    </row>
    <row r="19" spans="1:19" x14ac:dyDescent="0.2">
      <c r="A19" s="25">
        <f>'Circle Transparency Inputs'!A19</f>
        <v>45572</v>
      </c>
      <c r="B19" s="23">
        <f>'Circle Transparency Inputs'!D19/'Circle Transparency Inputs'!C19</f>
        <v>0.24277803378630211</v>
      </c>
      <c r="C19" s="23">
        <f>'Circle Transparency Inputs'!E19/'Circle Transparency Inputs'!C19</f>
        <v>0.64056025391554361</v>
      </c>
      <c r="D19" s="23">
        <f>'Circle Transparency Inputs'!F19/'Circle Transparency Inputs'!C19</f>
        <v>2.831653929278323E-2</v>
      </c>
      <c r="E19" s="16">
        <v>4.7199999999999999E-2</v>
      </c>
      <c r="F19" s="16">
        <v>4.8300000000000003E-2</v>
      </c>
      <c r="G19" s="23">
        <v>0</v>
      </c>
      <c r="H19" s="19">
        <f>('Circle Transparency Inputs'!B20+'Circle Transparency Inputs'!B19)/2</f>
        <v>35364270326.5</v>
      </c>
      <c r="I19" s="23">
        <f t="shared" si="0"/>
        <v>4.2398183458834213E-2</v>
      </c>
      <c r="J19" s="19">
        <f t="shared" si="5"/>
        <v>1499380821.1907539</v>
      </c>
      <c r="K19" s="19">
        <f t="shared" si="6"/>
        <v>17992569854.289047</v>
      </c>
      <c r="L19">
        <v>12</v>
      </c>
      <c r="M19" s="23">
        <f t="shared" si="1"/>
        <v>4.6689937160068362E-2</v>
      </c>
      <c r="N19" s="23" t="str">
        <f t="shared" si="2"/>
        <v>2024-10</v>
      </c>
      <c r="O19" s="72">
        <f t="shared" si="3"/>
        <v>2024</v>
      </c>
      <c r="P19" t="s">
        <v>191</v>
      </c>
      <c r="Q19" t="str">
        <f t="shared" si="4"/>
        <v>2023</v>
      </c>
      <c r="R19">
        <v>4.7977502623504559E-2</v>
      </c>
      <c r="S19">
        <v>24398609877</v>
      </c>
    </row>
    <row r="20" spans="1:19" x14ac:dyDescent="0.2">
      <c r="A20" s="25">
        <f>'Circle Transparency Inputs'!A20</f>
        <v>45565</v>
      </c>
      <c r="B20" s="23">
        <f>'Circle Transparency Inputs'!D20/'Circle Transparency Inputs'!C20</f>
        <v>0.22681101190403899</v>
      </c>
      <c r="C20" s="23">
        <f>'Circle Transparency Inputs'!E20/'Circle Transparency Inputs'!C20</f>
        <v>0.63478443750493274</v>
      </c>
      <c r="D20" s="23">
        <f>'Circle Transparency Inputs'!F20/'Circle Transparency Inputs'!C20</f>
        <v>2.8283137020260106E-2</v>
      </c>
      <c r="E20" s="16">
        <v>4.9200000000000001E-2</v>
      </c>
      <c r="F20" s="16">
        <v>4.9599999999999998E-2</v>
      </c>
      <c r="G20" s="23">
        <v>0</v>
      </c>
      <c r="H20" s="19">
        <f>('Circle Transparency Inputs'!B21+'Circle Transparency Inputs'!B20)/2</f>
        <v>35594658399</v>
      </c>
      <c r="I20" s="23">
        <f t="shared" si="0"/>
        <v>4.2644409885923384E-2</v>
      </c>
      <c r="J20" s="19">
        <f t="shared" si="5"/>
        <v>1517913202.5163815</v>
      </c>
      <c r="K20" s="19">
        <f t="shared" si="6"/>
        <v>18214958430.196579</v>
      </c>
      <c r="L20">
        <v>12</v>
      </c>
      <c r="M20" s="23">
        <f t="shared" si="1"/>
        <v>4.6897465617206424E-2</v>
      </c>
      <c r="N20" s="23" t="str">
        <f t="shared" si="2"/>
        <v>2024-09</v>
      </c>
      <c r="O20" s="72">
        <f t="shared" si="3"/>
        <v>2024</v>
      </c>
      <c r="P20" t="s">
        <v>192</v>
      </c>
      <c r="Q20" t="str">
        <f t="shared" si="4"/>
        <v>2024</v>
      </c>
      <c r="R20">
        <v>4.5572267092022653E-2</v>
      </c>
      <c r="S20">
        <v>25429157934</v>
      </c>
    </row>
    <row r="21" spans="1:19" x14ac:dyDescent="0.2">
      <c r="A21" s="25">
        <f>'Circle Transparency Inputs'!A21</f>
        <v>45555</v>
      </c>
      <c r="B21" s="23">
        <f>'Circle Transparency Inputs'!D21/'Circle Transparency Inputs'!C21</f>
        <v>0.24600529076860475</v>
      </c>
      <c r="C21" s="23">
        <f>'Circle Transparency Inputs'!E21/'Circle Transparency Inputs'!C21</f>
        <v>0.59738085099236748</v>
      </c>
      <c r="D21" s="23">
        <f>'Circle Transparency Inputs'!F21/'Circle Transparency Inputs'!C21</f>
        <v>2.7950604597018574E-2</v>
      </c>
      <c r="E21" s="16">
        <v>4.9200000000000001E-2</v>
      </c>
      <c r="F21" s="16">
        <v>4.8300000000000003E-2</v>
      </c>
      <c r="G21" s="23">
        <v>0</v>
      </c>
      <c r="H21" s="19">
        <f>('Circle Transparency Inputs'!B22+'Circle Transparency Inputs'!B21)/2</f>
        <v>35182381125.5</v>
      </c>
      <c r="I21" s="23">
        <f t="shared" si="0"/>
        <v>4.0956955408746706E-2</v>
      </c>
      <c r="J21" s="19">
        <f t="shared" si="5"/>
        <v>1440963214.9306352</v>
      </c>
      <c r="K21" s="19">
        <f t="shared" si="6"/>
        <v>17291558579.167622</v>
      </c>
      <c r="L21">
        <v>12</v>
      </c>
      <c r="M21" s="23">
        <f t="shared" si="1"/>
        <v>4.4959407110395568E-2</v>
      </c>
      <c r="N21" s="23" t="str">
        <f t="shared" si="2"/>
        <v>2024-09</v>
      </c>
      <c r="O21" s="72">
        <f t="shared" si="3"/>
        <v>2024</v>
      </c>
      <c r="P21" t="s">
        <v>193</v>
      </c>
      <c r="Q21" t="str">
        <f t="shared" si="4"/>
        <v>2024</v>
      </c>
      <c r="R21">
        <v>4.6477115039953207E-2</v>
      </c>
      <c r="S21">
        <v>27886910206</v>
      </c>
    </row>
    <row r="22" spans="1:19" x14ac:dyDescent="0.2">
      <c r="A22" s="25">
        <f>'Circle Transparency Inputs'!A22</f>
        <v>45534</v>
      </c>
      <c r="B22" s="23">
        <f>'Circle Transparency Inputs'!D22/'Circle Transparency Inputs'!C22</f>
        <v>0.24920954160807834</v>
      </c>
      <c r="C22" s="23">
        <f>'Circle Transparency Inputs'!E22/'Circle Transparency Inputs'!C22</f>
        <v>0.61252454737992401</v>
      </c>
      <c r="D22" s="23">
        <f>'Circle Transparency Inputs'!F22/'Circle Transparency Inputs'!C22</f>
        <v>2.8940582712989757E-2</v>
      </c>
      <c r="E22" s="16">
        <v>5.2999999999999999E-2</v>
      </c>
      <c r="F22" s="16">
        <v>5.3199999999999997E-2</v>
      </c>
      <c r="G22" s="23">
        <v>0</v>
      </c>
      <c r="H22" s="19">
        <f>('Circle Transparency Inputs'!B23+'Circle Transparency Inputs'!B22)/2</f>
        <v>34582706340</v>
      </c>
      <c r="I22" s="23">
        <f t="shared" si="0"/>
        <v>4.5794411625840109E-2</v>
      </c>
      <c r="J22" s="19">
        <f t="shared" si="5"/>
        <v>1583694689.2695105</v>
      </c>
      <c r="K22" s="19">
        <f t="shared" si="6"/>
        <v>19004336271.234127</v>
      </c>
      <c r="L22">
        <v>12</v>
      </c>
      <c r="M22" s="23">
        <f t="shared" si="1"/>
        <v>4.9898326093285594E-2</v>
      </c>
      <c r="N22" s="23" t="str">
        <f t="shared" si="2"/>
        <v>2024-08</v>
      </c>
      <c r="O22" s="72">
        <f t="shared" si="3"/>
        <v>2024</v>
      </c>
      <c r="P22" t="s">
        <v>194</v>
      </c>
      <c r="Q22" t="str">
        <f t="shared" si="4"/>
        <v>2024</v>
      </c>
      <c r="R22">
        <v>4.5233025912485805E-2</v>
      </c>
      <c r="S22">
        <v>31384488323</v>
      </c>
    </row>
    <row r="23" spans="1:19" x14ac:dyDescent="0.2">
      <c r="A23" s="25">
        <f>'Circle Transparency Inputs'!A23</f>
        <v>45533</v>
      </c>
      <c r="B23" s="23">
        <f>'Circle Transparency Inputs'!D23/'Circle Transparency Inputs'!C23</f>
        <v>0.24995401954618449</v>
      </c>
      <c r="C23" s="23">
        <f>'Circle Transparency Inputs'!E23/'Circle Transparency Inputs'!C23</f>
        <v>0.61260203367683852</v>
      </c>
      <c r="D23" s="23">
        <f>'Circle Transparency Inputs'!F23/'Circle Transparency Inputs'!C23</f>
        <v>2.8922104054632088E-2</v>
      </c>
      <c r="E23" s="16">
        <v>5.2999999999999999E-2</v>
      </c>
      <c r="F23" s="16">
        <v>5.33E-2</v>
      </c>
      <c r="G23" s="23">
        <v>0</v>
      </c>
      <c r="H23" s="19">
        <f>('Circle Transparency Inputs'!B24+'Circle Transparency Inputs'!B23)/2</f>
        <v>33852389413.5</v>
      </c>
      <c r="I23" s="23">
        <f t="shared" si="0"/>
        <v>4.5899251430923271E-2</v>
      </c>
      <c r="J23" s="19">
        <f t="shared" si="5"/>
        <v>1553799333.2277617</v>
      </c>
      <c r="K23" s="19">
        <f t="shared" si="6"/>
        <v>18645591998.733139</v>
      </c>
      <c r="L23">
        <v>12</v>
      </c>
      <c r="M23" s="23">
        <f t="shared" si="1"/>
        <v>5.0003685056558084E-2</v>
      </c>
      <c r="N23" s="23" t="str">
        <f t="shared" si="2"/>
        <v>2024-08</v>
      </c>
      <c r="O23" s="72">
        <f t="shared" si="3"/>
        <v>2024</v>
      </c>
      <c r="P23" t="s">
        <v>195</v>
      </c>
      <c r="Q23" t="str">
        <f t="shared" si="4"/>
        <v>2024</v>
      </c>
      <c r="R23">
        <v>4.7762530204125339E-2</v>
      </c>
      <c r="S23">
        <v>32771261275.5</v>
      </c>
    </row>
    <row r="24" spans="1:19" x14ac:dyDescent="0.2">
      <c r="A24" s="25">
        <f>'Circle Transparency Inputs'!A24</f>
        <v>45504</v>
      </c>
      <c r="B24" s="23">
        <f>'Circle Transparency Inputs'!D24/'Circle Transparency Inputs'!C24</f>
        <v>0.26721007767445842</v>
      </c>
      <c r="C24" s="23">
        <f>'Circle Transparency Inputs'!E24/'Circle Transparency Inputs'!C24</f>
        <v>0.59645970461965203</v>
      </c>
      <c r="D24" s="23">
        <f>'Circle Transparency Inputs'!F24/'Circle Transparency Inputs'!C24</f>
        <v>3.0229798811502062E-2</v>
      </c>
      <c r="E24" s="16">
        <v>5.4300000000000001E-2</v>
      </c>
      <c r="F24" s="16">
        <v>5.3800000000000001E-2</v>
      </c>
      <c r="G24" s="23">
        <v>0</v>
      </c>
      <c r="H24" s="19">
        <f>('Circle Transparency Inputs'!B25+'Circle Transparency Inputs'!B24)/2</f>
        <v>33387678032</v>
      </c>
      <c r="I24" s="23">
        <f t="shared" si="0"/>
        <v>4.6599039326260375E-2</v>
      </c>
      <c r="J24" s="19">
        <f t="shared" si="5"/>
        <v>1555833721.6256876</v>
      </c>
      <c r="K24" s="19">
        <f t="shared" si="6"/>
        <v>18670004659.508251</v>
      </c>
      <c r="L24">
        <v>12</v>
      </c>
      <c r="M24" s="23">
        <f t="shared" si="1"/>
        <v>5.0595319347212044E-2</v>
      </c>
      <c r="N24" s="23" t="str">
        <f t="shared" si="2"/>
        <v>2024-07</v>
      </c>
      <c r="O24" s="72">
        <f t="shared" si="3"/>
        <v>2024</v>
      </c>
      <c r="P24" t="s">
        <v>196</v>
      </c>
      <c r="Q24" t="str">
        <f t="shared" si="4"/>
        <v>2024</v>
      </c>
      <c r="R24">
        <v>4.7485783180200594E-2</v>
      </c>
      <c r="S24">
        <v>32912009038.5</v>
      </c>
    </row>
    <row r="25" spans="1:19" x14ac:dyDescent="0.2">
      <c r="A25" s="25">
        <f>'Circle Transparency Inputs'!A25</f>
        <v>45491</v>
      </c>
      <c r="B25" s="23">
        <f>'Circle Transparency Inputs'!D25/'Circle Transparency Inputs'!C25</f>
        <v>0.29099385868367605</v>
      </c>
      <c r="C25" s="23">
        <f>'Circle Transparency Inputs'!E25/'Circle Transparency Inputs'!C25</f>
        <v>0.57539172712460718</v>
      </c>
      <c r="D25" s="23">
        <f>'Circle Transparency Inputs'!F25/'Circle Transparency Inputs'!C25</f>
        <v>2.9726741714118543E-2</v>
      </c>
      <c r="E25" s="16">
        <v>5.4300000000000001E-2</v>
      </c>
      <c r="F25" s="16">
        <v>5.3400000000000003E-2</v>
      </c>
      <c r="G25" s="23">
        <v>0</v>
      </c>
      <c r="H25" s="19">
        <f>('Circle Transparency Inputs'!B26+'Circle Transparency Inputs'!B25)/2</f>
        <v>32907126905.5</v>
      </c>
      <c r="I25" s="23">
        <f t="shared" si="0"/>
        <v>4.6526884754977633E-2</v>
      </c>
      <c r="J25" s="19">
        <f t="shared" si="5"/>
        <v>1531066101.1496222</v>
      </c>
      <c r="K25" s="19">
        <f t="shared" si="6"/>
        <v>18372793213.795467</v>
      </c>
      <c r="L25">
        <v>12</v>
      </c>
      <c r="M25" s="23">
        <f t="shared" si="1"/>
        <v>5.0382009326712503E-2</v>
      </c>
      <c r="N25" s="23" t="str">
        <f t="shared" si="2"/>
        <v>2024-07</v>
      </c>
      <c r="O25" s="72">
        <f t="shared" si="3"/>
        <v>2024</v>
      </c>
      <c r="P25" t="s">
        <v>197</v>
      </c>
      <c r="Q25" t="str">
        <f t="shared" si="4"/>
        <v>2024</v>
      </c>
      <c r="R25">
        <v>4.7093347349589448E-2</v>
      </c>
      <c r="S25">
        <v>32131414303.5</v>
      </c>
    </row>
    <row r="26" spans="1:19" x14ac:dyDescent="0.2">
      <c r="A26" s="25">
        <f>'Circle Transparency Inputs'!A26</f>
        <v>45471</v>
      </c>
      <c r="B26" s="23">
        <f>'Circle Transparency Inputs'!D26/'Circle Transparency Inputs'!C26</f>
        <v>0.33217016130661903</v>
      </c>
      <c r="C26" s="23">
        <f>'Circle Transparency Inputs'!E26/'Circle Transparency Inputs'!C26</f>
        <v>0.52933723106273511</v>
      </c>
      <c r="D26" s="23">
        <f>'Circle Transparency Inputs'!F26/'Circle Transparency Inputs'!C26</f>
        <v>3.1114416817781283E-2</v>
      </c>
      <c r="E26" s="16">
        <v>5.5100000000000003E-2</v>
      </c>
      <c r="F26" s="16">
        <v>5.33E-2</v>
      </c>
      <c r="G26" s="23">
        <v>0</v>
      </c>
      <c r="H26" s="19">
        <f>('Circle Transparency Inputs'!B27+'Circle Transparency Inputs'!B26)/2</f>
        <v>32114770850.5</v>
      </c>
      <c r="I26" s="23">
        <f t="shared" si="0"/>
        <v>4.6516250303638491E-2</v>
      </c>
      <c r="J26" s="19">
        <f t="shared" si="5"/>
        <v>1493858719.3258512</v>
      </c>
      <c r="K26" s="19">
        <f t="shared" si="6"/>
        <v>17926304631.910213</v>
      </c>
      <c r="L26">
        <v>12</v>
      </c>
      <c r="M26" s="23">
        <f t="shared" si="1"/>
        <v>5.0062809751758822E-2</v>
      </c>
      <c r="N26" s="23" t="str">
        <f t="shared" si="2"/>
        <v>2024-06</v>
      </c>
      <c r="O26" s="72">
        <f t="shared" si="3"/>
        <v>2024</v>
      </c>
      <c r="P26" t="s">
        <v>198</v>
      </c>
      <c r="Q26" t="str">
        <f t="shared" si="4"/>
        <v>2024</v>
      </c>
      <c r="R26">
        <v>4.6562962040619008E-2</v>
      </c>
      <c r="S26">
        <v>33147402468.75</v>
      </c>
    </row>
    <row r="27" spans="1:19" x14ac:dyDescent="0.2">
      <c r="A27" s="25">
        <f>'Circle Transparency Inputs'!A27</f>
        <v>45453</v>
      </c>
      <c r="B27" s="23">
        <f>'Circle Transparency Inputs'!D27/'Circle Transparency Inputs'!C27</f>
        <v>0.34933945079909079</v>
      </c>
      <c r="C27" s="23">
        <f>'Circle Transparency Inputs'!E27/'Circle Transparency Inputs'!C27</f>
        <v>0.5342451251223781</v>
      </c>
      <c r="D27" s="23">
        <f>'Circle Transparency Inputs'!F27/'Circle Transparency Inputs'!C27</f>
        <v>3.1223332755463129E-2</v>
      </c>
      <c r="E27" s="16">
        <v>5.5100000000000003E-2</v>
      </c>
      <c r="F27" s="16">
        <v>5.3199999999999997E-2</v>
      </c>
      <c r="G27" s="23">
        <v>0</v>
      </c>
      <c r="H27" s="19">
        <f>('Circle Transparency Inputs'!B28+'Circle Transparency Inputs'!B27)/2</f>
        <v>32148057756.5</v>
      </c>
      <c r="I27" s="23">
        <f t="shared" si="0"/>
        <v>4.7670444395540412E-2</v>
      </c>
      <c r="J27" s="19">
        <f t="shared" si="5"/>
        <v>1532512199.7058549</v>
      </c>
      <c r="K27" s="19">
        <f t="shared" si="6"/>
        <v>18390146396.470261</v>
      </c>
      <c r="L27">
        <v>12</v>
      </c>
      <c r="M27" s="23">
        <f t="shared" si="1"/>
        <v>5.1249886733860349E-2</v>
      </c>
      <c r="N27" s="23" t="str">
        <f t="shared" si="2"/>
        <v>2024-06</v>
      </c>
      <c r="O27" s="72">
        <f t="shared" si="3"/>
        <v>2024</v>
      </c>
      <c r="P27" t="s">
        <v>199</v>
      </c>
      <c r="Q27" t="str">
        <f t="shared" si="4"/>
        <v>2024</v>
      </c>
      <c r="R27">
        <v>4.584683152838169E-2</v>
      </c>
      <c r="S27">
        <v>34217547876.75</v>
      </c>
    </row>
    <row r="28" spans="1:19" x14ac:dyDescent="0.2">
      <c r="A28" s="25">
        <f>'Circle Transparency Inputs'!A28</f>
        <v>45443</v>
      </c>
      <c r="B28" s="23">
        <f>'Circle Transparency Inputs'!D28/'Circle Transparency Inputs'!C28</f>
        <v>0.35964062422714899</v>
      </c>
      <c r="C28" s="23">
        <f>'Circle Transparency Inputs'!E28/'Circle Transparency Inputs'!C28</f>
        <v>0.50985379668143194</v>
      </c>
      <c r="D28" s="23">
        <f>'Circle Transparency Inputs'!F28/'Circle Transparency Inputs'!C28</f>
        <v>3.1060583640557974E-2</v>
      </c>
      <c r="E28" s="16">
        <v>5.4600000000000003E-2</v>
      </c>
      <c r="F28" s="16">
        <v>5.3400000000000003E-2</v>
      </c>
      <c r="G28" s="23">
        <v>0</v>
      </c>
      <c r="H28" s="19">
        <f>('Circle Transparency Inputs'!B29+'Circle Transparency Inputs'!B28)/2</f>
        <v>32727296260.5</v>
      </c>
      <c r="I28" s="23">
        <f t="shared" si="0"/>
        <v>4.6862570825590796E-2</v>
      </c>
      <c r="J28" s="19">
        <f t="shared" si="5"/>
        <v>1533685238.9377742</v>
      </c>
      <c r="K28" s="19">
        <f t="shared" si="6"/>
        <v>18404222867.253288</v>
      </c>
      <c r="L28">
        <v>12</v>
      </c>
      <c r="M28" s="23">
        <f t="shared" si="1"/>
        <v>5.027859126335639E-2</v>
      </c>
      <c r="N28" s="23" t="str">
        <f t="shared" si="2"/>
        <v>2024-05</v>
      </c>
      <c r="O28" s="72">
        <f t="shared" si="3"/>
        <v>2024</v>
      </c>
      <c r="P28" t="s">
        <v>200</v>
      </c>
      <c r="Q28" t="str">
        <f t="shared" si="4"/>
        <v>2024</v>
      </c>
      <c r="R28">
        <v>4.1800682647335045E-2</v>
      </c>
      <c r="S28">
        <v>35388519762.25</v>
      </c>
    </row>
    <row r="29" spans="1:19" x14ac:dyDescent="0.2">
      <c r="A29" s="25">
        <f>'Circle Transparency Inputs'!A29</f>
        <v>45419</v>
      </c>
      <c r="B29" s="23">
        <f>'Circle Transparency Inputs'!D29/'Circle Transparency Inputs'!C29</f>
        <v>0.35553849779241731</v>
      </c>
      <c r="C29" s="23">
        <f>'Circle Transparency Inputs'!E29/'Circle Transparency Inputs'!C29</f>
        <v>0.540425490684452</v>
      </c>
      <c r="D29" s="23">
        <f>'Circle Transparency Inputs'!F29/'Circle Transparency Inputs'!C29</f>
        <v>3.0114685727914089E-2</v>
      </c>
      <c r="E29" s="16">
        <v>5.4600000000000003E-2</v>
      </c>
      <c r="F29" s="16">
        <v>5.3100000000000001E-2</v>
      </c>
      <c r="G29" s="23">
        <v>0</v>
      </c>
      <c r="H29" s="19">
        <f>('Circle Transparency Inputs'!B30+'Circle Transparency Inputs'!B29)/2</f>
        <v>33096721816.5</v>
      </c>
      <c r="I29" s="23">
        <f t="shared" si="0"/>
        <v>4.8108995534810392E-2</v>
      </c>
      <c r="J29" s="19">
        <f t="shared" si="5"/>
        <v>1592250042.0868602</v>
      </c>
      <c r="K29" s="19">
        <f t="shared" si="6"/>
        <v>19107000505.04232</v>
      </c>
      <c r="L29">
        <v>12</v>
      </c>
      <c r="M29" s="23">
        <f t="shared" si="1"/>
        <v>5.1729846322396217E-2</v>
      </c>
      <c r="N29" s="23" t="str">
        <f t="shared" si="2"/>
        <v>2024-05</v>
      </c>
      <c r="O29" s="72">
        <f t="shared" si="3"/>
        <v>2024</v>
      </c>
      <c r="P29" t="s">
        <v>201</v>
      </c>
      <c r="Q29" t="str">
        <f t="shared" si="4"/>
        <v>2024</v>
      </c>
      <c r="R29">
        <v>4.1772414391437009E-2</v>
      </c>
      <c r="S29">
        <v>35165325509</v>
      </c>
    </row>
    <row r="30" spans="1:19" x14ac:dyDescent="0.2">
      <c r="A30" s="25">
        <f>'Circle Transparency Inputs'!A30</f>
        <v>45412</v>
      </c>
      <c r="B30" s="23">
        <f>'Circle Transparency Inputs'!D30/'Circle Transparency Inputs'!C30</f>
        <v>0.31372028430266929</v>
      </c>
      <c r="C30" s="23">
        <f>'Circle Transparency Inputs'!E30/'Circle Transparency Inputs'!C30</f>
        <v>0.56627402604605492</v>
      </c>
      <c r="D30" s="23">
        <f>'Circle Transparency Inputs'!F30/'Circle Transparency Inputs'!C30</f>
        <v>3.0385747390149816E-2</v>
      </c>
      <c r="E30" s="16">
        <v>5.4399999999999997E-2</v>
      </c>
      <c r="F30" s="16">
        <v>5.3400000000000003E-2</v>
      </c>
      <c r="G30" s="23">
        <v>0</v>
      </c>
      <c r="H30" s="19">
        <f>('Circle Transparency Inputs'!B31+'Circle Transparency Inputs'!B30)/2</f>
        <v>32934649166.5</v>
      </c>
      <c r="I30" s="23">
        <f t="shared" si="0"/>
        <v>4.7305416456924543E-2</v>
      </c>
      <c r="J30" s="19">
        <f t="shared" si="5"/>
        <v>1557987294.6839852</v>
      </c>
      <c r="K30" s="19">
        <f t="shared" si="6"/>
        <v>18695847536.207825</v>
      </c>
      <c r="L30">
        <v>12</v>
      </c>
      <c r="M30" s="23">
        <f t="shared" si="1"/>
        <v>5.1099452431433115E-2</v>
      </c>
      <c r="N30" s="23" t="str">
        <f t="shared" si="2"/>
        <v>2024-04</v>
      </c>
      <c r="O30" s="72">
        <f t="shared" si="3"/>
        <v>2024</v>
      </c>
      <c r="P30" t="s">
        <v>202</v>
      </c>
      <c r="Q30" t="str">
        <f t="shared" si="4"/>
        <v>2024</v>
      </c>
      <c r="R30">
        <v>3.882696151628607E-2</v>
      </c>
      <c r="S30">
        <v>38308779801.5</v>
      </c>
    </row>
    <row r="31" spans="1:19" x14ac:dyDescent="0.2">
      <c r="A31" s="25">
        <f>'Circle Transparency Inputs'!A31</f>
        <v>45387</v>
      </c>
      <c r="B31" s="23">
        <f>'Circle Transparency Inputs'!D31/'Circle Transparency Inputs'!C31</f>
        <v>0.39061659175819541</v>
      </c>
      <c r="C31" s="23">
        <f>'Circle Transparency Inputs'!E31/'Circle Transparency Inputs'!C31</f>
        <v>0.50695679247519376</v>
      </c>
      <c r="D31" s="23">
        <f>'Circle Transparency Inputs'!F31/'Circle Transparency Inputs'!C31</f>
        <v>3.0420691138818748E-2</v>
      </c>
      <c r="E31" s="16">
        <v>5.4399999999999997E-2</v>
      </c>
      <c r="F31" s="16">
        <v>5.3199999999999997E-2</v>
      </c>
      <c r="G31" s="23">
        <v>0</v>
      </c>
      <c r="H31" s="19">
        <f>('Circle Transparency Inputs'!B32+'Circle Transparency Inputs'!B31)/2</f>
        <v>32607873384.5</v>
      </c>
      <c r="I31" s="23">
        <f t="shared" si="0"/>
        <v>4.8219643951326135E-2</v>
      </c>
      <c r="J31" s="19">
        <f t="shared" si="5"/>
        <v>1572340044.6105139</v>
      </c>
      <c r="K31" s="19">
        <f t="shared" si="6"/>
        <v>18868080535.326168</v>
      </c>
      <c r="L31">
        <v>12</v>
      </c>
      <c r="M31" s="23">
        <f t="shared" si="1"/>
        <v>5.1616254460909936E-2</v>
      </c>
      <c r="N31" s="23" t="str">
        <f t="shared" si="2"/>
        <v>2024-04</v>
      </c>
      <c r="O31" s="72">
        <f t="shared" si="3"/>
        <v>2024</v>
      </c>
      <c r="P31" t="s">
        <v>203</v>
      </c>
      <c r="Q31" t="str">
        <f t="shared" si="4"/>
        <v>2024</v>
      </c>
      <c r="R31">
        <v>3.7466448450114945E-2</v>
      </c>
      <c r="S31">
        <v>41196909024.75</v>
      </c>
    </row>
    <row r="32" spans="1:19" x14ac:dyDescent="0.2">
      <c r="A32" s="25">
        <f>'Circle Transparency Inputs'!A32</f>
        <v>45380</v>
      </c>
      <c r="B32" s="23">
        <f>'Circle Transparency Inputs'!D32/'Circle Transparency Inputs'!C32</f>
        <v>0.35213089694125055</v>
      </c>
      <c r="C32" s="23">
        <f>'Circle Transparency Inputs'!E32/'Circle Transparency Inputs'!C32</f>
        <v>0.49118178384408262</v>
      </c>
      <c r="D32" s="23">
        <f>'Circle Transparency Inputs'!F32/'Circle Transparency Inputs'!C32</f>
        <v>3.0995859904979387E-2</v>
      </c>
      <c r="E32" s="16">
        <v>5.4699999999999999E-2</v>
      </c>
      <c r="F32" s="16">
        <v>5.3400000000000003E-2</v>
      </c>
      <c r="G32" s="23">
        <v>0</v>
      </c>
      <c r="H32" s="19">
        <f>('Circle Transparency Inputs'!B33+'Circle Transparency Inputs'!B32)/2</f>
        <v>32307359329</v>
      </c>
      <c r="I32" s="23">
        <f t="shared" si="0"/>
        <v>4.5490667319960418E-2</v>
      </c>
      <c r="J32" s="19">
        <f t="shared" si="5"/>
        <v>1469683335.2219586</v>
      </c>
      <c r="K32" s="19">
        <f t="shared" si="6"/>
        <v>17636200022.663506</v>
      </c>
      <c r="L32">
        <v>12</v>
      </c>
      <c r="M32" s="23">
        <f t="shared" si="1"/>
        <v>4.878158527171577E-2</v>
      </c>
      <c r="N32" s="23" t="str">
        <f t="shared" si="2"/>
        <v>2024-03</v>
      </c>
      <c r="O32" s="72">
        <f t="shared" si="3"/>
        <v>2024</v>
      </c>
      <c r="P32" t="s">
        <v>204</v>
      </c>
      <c r="Q32" t="str">
        <f t="shared" si="4"/>
        <v>2025</v>
      </c>
      <c r="R32">
        <v>3.7546224396827539E-2</v>
      </c>
      <c r="S32">
        <v>47143713461.5</v>
      </c>
    </row>
    <row r="33" spans="1:30" x14ac:dyDescent="0.2">
      <c r="A33" s="25">
        <f>'Circle Transparency Inputs'!A33</f>
        <v>45376</v>
      </c>
      <c r="B33" s="23">
        <f>'Circle Transparency Inputs'!D33/'Circle Transparency Inputs'!C33</f>
        <v>0.33503116996774612</v>
      </c>
      <c r="C33" s="23">
        <f>'Circle Transparency Inputs'!E33/'Circle Transparency Inputs'!C33</f>
        <v>0.5018677873404046</v>
      </c>
      <c r="D33" s="23">
        <f>'Circle Transparency Inputs'!F33/'Circle Transparency Inputs'!C33</f>
        <v>3.0998805003311442E-2</v>
      </c>
      <c r="E33" s="16">
        <v>5.4699999999999999E-2</v>
      </c>
      <c r="F33" s="16">
        <v>5.3100000000000001E-2</v>
      </c>
      <c r="G33" s="23">
        <v>0</v>
      </c>
      <c r="H33" s="19">
        <f>('Circle Transparency Inputs'!B34+'Circle Transparency Inputs'!B33)/2</f>
        <v>30461617317</v>
      </c>
      <c r="I33" s="23">
        <f t="shared" si="0"/>
        <v>4.4975384505011193E-2</v>
      </c>
      <c r="J33" s="19">
        <f t="shared" si="5"/>
        <v>1370022951.4765825</v>
      </c>
      <c r="K33" s="19">
        <f t="shared" si="6"/>
        <v>16440275417.71899</v>
      </c>
      <c r="L33">
        <v>12</v>
      </c>
      <c r="M33" s="23">
        <f t="shared" si="1"/>
        <v>4.8337898680191907E-2</v>
      </c>
      <c r="N33" s="23" t="str">
        <f t="shared" si="2"/>
        <v>2024-03</v>
      </c>
      <c r="O33" s="72">
        <f t="shared" si="3"/>
        <v>2024</v>
      </c>
      <c r="P33" t="s">
        <v>205</v>
      </c>
      <c r="Q33" t="str">
        <f t="shared" si="4"/>
        <v>2025</v>
      </c>
      <c r="R33">
        <v>3.8721463331912308E-2</v>
      </c>
      <c r="S33">
        <v>54849311754</v>
      </c>
    </row>
    <row r="34" spans="1:30" x14ac:dyDescent="0.2">
      <c r="A34" s="25">
        <f>'Circle Transparency Inputs'!A34</f>
        <v>45351</v>
      </c>
      <c r="B34" s="23">
        <f>'Circle Transparency Inputs'!D34/'Circle Transparency Inputs'!C34</f>
        <v>0.34823332731728029</v>
      </c>
      <c r="C34" s="23">
        <f>'Circle Transparency Inputs'!E34/'Circle Transparency Inputs'!C34</f>
        <v>0.50570762395964786</v>
      </c>
      <c r="D34" s="23">
        <f>'Circle Transparency Inputs'!F34/'Circle Transparency Inputs'!C34</f>
        <v>3.493529741937082E-2</v>
      </c>
      <c r="E34" s="16">
        <v>5.4399999999999997E-2</v>
      </c>
      <c r="F34" s="16">
        <v>5.3199999999999997E-2</v>
      </c>
      <c r="G34" s="23">
        <v>0</v>
      </c>
      <c r="H34" s="19">
        <f>('Circle Transparency Inputs'!B35+'Circle Transparency Inputs'!B34)/2</f>
        <v>28372831217</v>
      </c>
      <c r="I34" s="23">
        <f t="shared" si="0"/>
        <v>4.5847538600713313E-2</v>
      </c>
      <c r="J34" s="19">
        <f t="shared" si="5"/>
        <v>1300824474.4329312</v>
      </c>
      <c r="K34" s="19">
        <f t="shared" si="6"/>
        <v>15609893693.195175</v>
      </c>
      <c r="L34">
        <v>12</v>
      </c>
      <c r="M34" s="23">
        <f t="shared" si="1"/>
        <v>4.9235779681242951E-2</v>
      </c>
      <c r="N34" s="23" t="str">
        <f t="shared" si="2"/>
        <v>2024-02</v>
      </c>
      <c r="O34" s="72">
        <f t="shared" si="3"/>
        <v>2024</v>
      </c>
      <c r="P34" t="s">
        <v>206</v>
      </c>
      <c r="Q34" t="str">
        <f t="shared" si="4"/>
        <v>2025</v>
      </c>
      <c r="R34">
        <v>3.971153084120245E-2</v>
      </c>
      <c r="S34">
        <v>58606368867.75</v>
      </c>
    </row>
    <row r="35" spans="1:30" x14ac:dyDescent="0.2">
      <c r="A35" s="25">
        <f>'Circle Transparency Inputs'!A35</f>
        <v>45345</v>
      </c>
      <c r="B35" s="23">
        <f>'Circle Transparency Inputs'!D35/'Circle Transparency Inputs'!C35</f>
        <v>0.32940004662515399</v>
      </c>
      <c r="C35" s="23">
        <f>'Circle Transparency Inputs'!E35/'Circle Transparency Inputs'!C35</f>
        <v>0.54966721172852584</v>
      </c>
      <c r="D35" s="23">
        <f>'Circle Transparency Inputs'!F35/'Circle Transparency Inputs'!C35</f>
        <v>3.5545538698401012E-2</v>
      </c>
      <c r="E35" s="16">
        <v>5.4399999999999997E-2</v>
      </c>
      <c r="F35" s="16">
        <v>5.3100000000000001E-2</v>
      </c>
      <c r="G35" s="23">
        <v>0</v>
      </c>
      <c r="H35" s="19">
        <f>('Circle Transparency Inputs'!B36+'Circle Transparency Inputs'!B35)/2</f>
        <v>27400989195</v>
      </c>
      <c r="I35" s="23">
        <f t="shared" si="0"/>
        <v>4.7106691479193101E-2</v>
      </c>
      <c r="J35" s="19">
        <f t="shared" si="5"/>
        <v>1290769944.2335687</v>
      </c>
      <c r="K35" s="19">
        <f t="shared" si="6"/>
        <v>15489239330.802824</v>
      </c>
      <c r="L35">
        <v>12</v>
      </c>
      <c r="M35" s="23">
        <f t="shared" si="1"/>
        <v>5.0789461797774223E-2</v>
      </c>
      <c r="N35" s="23" t="str">
        <f t="shared" si="2"/>
        <v>2024-02</v>
      </c>
      <c r="O35" s="72">
        <f t="shared" si="3"/>
        <v>2024</v>
      </c>
      <c r="P35" t="s">
        <v>207</v>
      </c>
      <c r="Q35" t="str">
        <f t="shared" si="4"/>
        <v>2025</v>
      </c>
      <c r="R35">
        <v>3.9732279366180068E-2</v>
      </c>
      <c r="S35">
        <v>60732772802</v>
      </c>
      <c r="V35" s="71" t="s">
        <v>33</v>
      </c>
      <c r="W35" t="s">
        <v>217</v>
      </c>
    </row>
    <row r="36" spans="1:30" x14ac:dyDescent="0.2">
      <c r="A36" s="25">
        <f>'Circle Transparency Inputs'!A36</f>
        <v>45322</v>
      </c>
      <c r="B36" s="23">
        <f>'Circle Transparency Inputs'!D36/'Circle Transparency Inputs'!C36</f>
        <v>0.27620066321467762</v>
      </c>
      <c r="C36" s="23">
        <f>'Circle Transparency Inputs'!E36/'Circle Transparency Inputs'!C36</f>
        <v>0.57330800249812774</v>
      </c>
      <c r="D36" s="23">
        <f>'Circle Transparency Inputs'!F36/'Circle Transparency Inputs'!C36</f>
        <v>3.7539725986896123E-2</v>
      </c>
      <c r="E36" s="16">
        <v>5.45E-2</v>
      </c>
      <c r="F36" s="16">
        <v>5.3199999999999997E-2</v>
      </c>
      <c r="G36" s="23">
        <v>0</v>
      </c>
      <c r="H36" s="19">
        <f>('Circle Transparency Inputs'!B37+'Circle Transparency Inputs'!B36)/2</f>
        <v>25953655133.5</v>
      </c>
      <c r="I36" s="23">
        <f t="shared" si="0"/>
        <v>4.5552921878100325E-2</v>
      </c>
      <c r="J36" s="19">
        <f t="shared" si="5"/>
        <v>1182264824.747483</v>
      </c>
      <c r="K36" s="19">
        <f t="shared" si="6"/>
        <v>14187177896.969795</v>
      </c>
      <c r="L36">
        <v>12</v>
      </c>
      <c r="M36" s="23">
        <f t="shared" si="1"/>
        <v>4.9394085494837779E-2</v>
      </c>
      <c r="N36" s="23" t="str">
        <f t="shared" si="2"/>
        <v>2024-01</v>
      </c>
      <c r="O36" s="72">
        <f t="shared" si="3"/>
        <v>2024</v>
      </c>
      <c r="P36" t="s">
        <v>208</v>
      </c>
      <c r="Q36" t="str">
        <f t="shared" si="4"/>
        <v>2025</v>
      </c>
      <c r="R36">
        <v>3.8713067796979118E-2</v>
      </c>
      <c r="S36">
        <v>61224459823</v>
      </c>
    </row>
    <row r="37" spans="1:30" x14ac:dyDescent="0.2">
      <c r="A37" s="25">
        <f>'Circle Transparency Inputs'!A37</f>
        <v>45302</v>
      </c>
      <c r="B37" s="23">
        <f>'Circle Transparency Inputs'!D37/'Circle Transparency Inputs'!C37</f>
        <v>0.27410789003347624</v>
      </c>
      <c r="C37" s="23">
        <f>'Circle Transparency Inputs'!E37/'Circle Transparency Inputs'!C37</f>
        <v>0.57726426175368217</v>
      </c>
      <c r="D37" s="23">
        <f>'Circle Transparency Inputs'!F37/'Circle Transparency Inputs'!C37</f>
        <v>3.9633409825480775E-2</v>
      </c>
      <c r="E37" s="16">
        <v>5.45E-2</v>
      </c>
      <c r="F37" s="16">
        <v>5.3100000000000001E-2</v>
      </c>
      <c r="G37" s="23">
        <v>0</v>
      </c>
      <c r="H37" s="19">
        <f>('Circle Transparency Inputs'!B38+'Circle Transparency Inputs'!B37)/2</f>
        <v>24904660734.5</v>
      </c>
      <c r="I37" s="23">
        <f t="shared" si="0"/>
        <v>4.5591612305944981E-2</v>
      </c>
      <c r="J37" s="19">
        <f t="shared" si="5"/>
        <v>1135443636.8184149</v>
      </c>
      <c r="K37" s="19">
        <f t="shared" si="6"/>
        <v>13625323641.82098</v>
      </c>
      <c r="L37">
        <v>12</v>
      </c>
      <c r="M37" s="23">
        <f t="shared" si="1"/>
        <v>4.9459282859694656E-2</v>
      </c>
      <c r="N37" s="23" t="str">
        <f t="shared" si="2"/>
        <v>2024-01</v>
      </c>
      <c r="O37" s="72">
        <f t="shared" si="3"/>
        <v>2024</v>
      </c>
      <c r="P37" t="s">
        <v>209</v>
      </c>
      <c r="Q37" t="str">
        <f t="shared" si="4"/>
        <v>2025</v>
      </c>
      <c r="R37">
        <v>3.7977681249096173E-2</v>
      </c>
      <c r="S37">
        <v>61021639619.75</v>
      </c>
      <c r="V37" s="71" t="s">
        <v>172</v>
      </c>
      <c r="W37" t="s">
        <v>210</v>
      </c>
      <c r="X37" t="s">
        <v>218</v>
      </c>
      <c r="Z37" s="71" t="s">
        <v>172</v>
      </c>
      <c r="AA37" t="s">
        <v>216</v>
      </c>
      <c r="AB37" t="s">
        <v>220</v>
      </c>
      <c r="AD37" s="33" t="s">
        <v>221</v>
      </c>
    </row>
    <row r="38" spans="1:30" x14ac:dyDescent="0.2">
      <c r="A38" s="25">
        <f>'Circle Transparency Inputs'!A38</f>
        <v>45289</v>
      </c>
      <c r="B38" s="23">
        <f>'Circle Transparency Inputs'!D38/'Circle Transparency Inputs'!C38</f>
        <v>0.26817089099135205</v>
      </c>
      <c r="C38" s="23">
        <f>'Circle Transparency Inputs'!E38/'Circle Transparency Inputs'!C38</f>
        <v>0.59558694118740685</v>
      </c>
      <c r="D38" s="23">
        <f>'Circle Transparency Inputs'!F38/'Circle Transparency Inputs'!C38</f>
        <v>4.0653071432812764E-2</v>
      </c>
      <c r="E38" s="16">
        <v>5.4399999999999997E-2</v>
      </c>
      <c r="F38" s="16">
        <v>5.3800000000000001E-2</v>
      </c>
      <c r="G38" s="23">
        <v>0</v>
      </c>
      <c r="H38" s="19">
        <f>('Circle Transparency Inputs'!B39+'Circle Transparency Inputs'!B38)/2</f>
        <v>24439615985</v>
      </c>
      <c r="I38" s="23">
        <f t="shared" si="0"/>
        <v>4.6631073905812039E-2</v>
      </c>
      <c r="J38" s="19">
        <f t="shared" si="5"/>
        <v>1139645539.2262003</v>
      </c>
      <c r="K38" s="19">
        <f t="shared" si="6"/>
        <v>13675746470.714405</v>
      </c>
      <c r="L38">
        <v>12</v>
      </c>
      <c r="M38" s="23">
        <f t="shared" si="1"/>
        <v>5.0621506411767665E-2</v>
      </c>
      <c r="N38" s="23" t="str">
        <f t="shared" si="2"/>
        <v>2023-12</v>
      </c>
      <c r="O38" s="72">
        <f t="shared" si="3"/>
        <v>2023</v>
      </c>
      <c r="V38" s="22" t="s">
        <v>174</v>
      </c>
      <c r="W38" s="32">
        <v>1.7843558152571239E-2</v>
      </c>
      <c r="X38" s="18">
        <v>55029248995</v>
      </c>
      <c r="Z38" s="22" t="s">
        <v>212</v>
      </c>
      <c r="AA38" s="32">
        <v>2.22771914411975E-2</v>
      </c>
      <c r="AB38" s="18">
        <v>48469536608.833336</v>
      </c>
      <c r="AD38" s="18">
        <f>GETPIVOTDATA("Average of Average of USDC Float",$Z$37,"Year","2022")*GETPIVOTDATA("Average of Average of Weighted Yield %",$Z$37,"Year","2022")</f>
        <v>1079765146.1011109</v>
      </c>
    </row>
    <row r="39" spans="1:30" x14ac:dyDescent="0.2">
      <c r="A39" s="25">
        <f>'Circle Transparency Inputs'!A39</f>
        <v>45266</v>
      </c>
      <c r="B39" s="23">
        <f>'Circle Transparency Inputs'!D39/'Circle Transparency Inputs'!C39</f>
        <v>0.29543826330699696</v>
      </c>
      <c r="C39" s="23">
        <f>'Circle Transparency Inputs'!E39/'Circle Transparency Inputs'!C39</f>
        <v>0.62503928228000827</v>
      </c>
      <c r="D39" s="23">
        <f>'Circle Transparency Inputs'!F39/'Circle Transparency Inputs'!C39</f>
        <v>4.1141029911603809E-2</v>
      </c>
      <c r="E39" s="16">
        <v>5.4399999999999997E-2</v>
      </c>
      <c r="F39" s="16">
        <v>5.3199999999999997E-2</v>
      </c>
      <c r="G39" s="23">
        <v>0</v>
      </c>
      <c r="H39" s="19">
        <f>('Circle Transparency Inputs'!B40+'Circle Transparency Inputs'!B39)/2</f>
        <v>24357603769</v>
      </c>
      <c r="I39" s="23">
        <f t="shared" si="0"/>
        <v>4.9323931341197072E-2</v>
      </c>
      <c r="J39" s="19">
        <f t="shared" si="5"/>
        <v>1201412775.9382391</v>
      </c>
      <c r="K39" s="19">
        <f t="shared" si="6"/>
        <v>14416953311.258869</v>
      </c>
      <c r="L39">
        <v>12</v>
      </c>
      <c r="M39" s="23">
        <f t="shared" si="1"/>
        <v>5.3511694532473127E-2</v>
      </c>
      <c r="N39" s="23" t="str">
        <f t="shared" si="2"/>
        <v>2023-12</v>
      </c>
      <c r="O39" s="72">
        <f t="shared" si="3"/>
        <v>2023</v>
      </c>
      <c r="V39" s="22" t="s">
        <v>175</v>
      </c>
      <c r="W39" s="32">
        <v>2.25679233868591E-2</v>
      </c>
      <c r="X39" s="18">
        <v>53373446754.5</v>
      </c>
      <c r="Z39" s="22" t="s">
        <v>213</v>
      </c>
      <c r="AA39" s="32">
        <v>4.5232581732996428E-2</v>
      </c>
      <c r="AB39" s="18">
        <v>30675751777.541668</v>
      </c>
      <c r="AD39" s="18">
        <f>GETPIVOTDATA("Average of Average of USDC Float",$Z$37,"Year","2023")*GETPIVOTDATA("Average of Average of Weighted Yield %",$Z$37,"Year","2023")</f>
        <v>1387543449.498764</v>
      </c>
    </row>
    <row r="40" spans="1:30" x14ac:dyDescent="0.2">
      <c r="A40" s="25">
        <f>'Circle Transparency Inputs'!A40</f>
        <v>45260</v>
      </c>
      <c r="B40" s="23">
        <f>'Circle Transparency Inputs'!D40/'Circle Transparency Inputs'!C40</f>
        <v>0.29218825630694961</v>
      </c>
      <c r="C40" s="23">
        <f>'Circle Transparency Inputs'!E40/'Circle Transparency Inputs'!C40</f>
        <v>0.59373922825019199</v>
      </c>
      <c r="D40" s="23">
        <f>'Circle Transparency Inputs'!F40/'Circle Transparency Inputs'!C40</f>
        <v>4.0916054403720981E-2</v>
      </c>
      <c r="E40" s="16">
        <v>5.5199999999999999E-2</v>
      </c>
      <c r="F40" s="16">
        <v>5.3900000000000003E-2</v>
      </c>
      <c r="G40" s="23">
        <v>0</v>
      </c>
      <c r="H40" s="19">
        <f>('Circle Transparency Inputs'!B41+'Circle Transparency Inputs'!B40)/2</f>
        <v>24250603062</v>
      </c>
      <c r="I40" s="23">
        <f t="shared" si="0"/>
        <v>4.8131336150828971E-2</v>
      </c>
      <c r="J40" s="19">
        <f t="shared" si="5"/>
        <v>1167213927.8374443</v>
      </c>
      <c r="K40" s="19">
        <f t="shared" si="6"/>
        <v>14006567134.049332</v>
      </c>
      <c r="L40">
        <v>12</v>
      </c>
      <c r="M40" s="23">
        <f t="shared" si="1"/>
        <v>5.2109388980105253E-2</v>
      </c>
      <c r="N40" s="23" t="str">
        <f t="shared" si="2"/>
        <v>2023-11</v>
      </c>
      <c r="O40" s="72">
        <f t="shared" si="3"/>
        <v>2023</v>
      </c>
      <c r="V40" s="22" t="s">
        <v>176</v>
      </c>
      <c r="W40" s="32">
        <v>2.5951958707790022E-2</v>
      </c>
      <c r="X40" s="18">
        <v>49759937969.5</v>
      </c>
      <c r="Z40" s="22" t="s">
        <v>214</v>
      </c>
      <c r="AA40" s="32">
        <v>4.4325030779379243E-2</v>
      </c>
      <c r="AB40" s="18">
        <v>33328310460.291668</v>
      </c>
      <c r="AD40" s="18">
        <f>GETPIVOTDATA("Average of Average of USDC Float",$Z$37,"Year","2024")*GETPIVOTDATA("Average of Average of Weighted Yield %",$Z$37,"Year","2024")</f>
        <v>1477278386.9771354</v>
      </c>
    </row>
    <row r="41" spans="1:30" x14ac:dyDescent="0.2">
      <c r="A41" s="25">
        <f>'Circle Transparency Inputs'!A41</f>
        <v>45246</v>
      </c>
      <c r="B41" s="23">
        <f>'Circle Transparency Inputs'!D41/'Circle Transparency Inputs'!C41</f>
        <v>0.29124445419758549</v>
      </c>
      <c r="C41" s="23">
        <f>'Circle Transparency Inputs'!E41/'Circle Transparency Inputs'!C41</f>
        <v>0.59707361218715316</v>
      </c>
      <c r="D41" s="23">
        <f>'Circle Transparency Inputs'!F41/'Circle Transparency Inputs'!C41</f>
        <v>4.150064470515441E-2</v>
      </c>
      <c r="E41" s="16">
        <v>5.5199999999999999E-2</v>
      </c>
      <c r="F41" s="16">
        <v>5.3199999999999997E-2</v>
      </c>
      <c r="G41" s="23">
        <v>0</v>
      </c>
      <c r="H41" s="19">
        <f>('Circle Transparency Inputs'!B42+'Circle Transparency Inputs'!B41)/2</f>
        <v>24346070320.5</v>
      </c>
      <c r="I41" s="23">
        <f t="shared" si="0"/>
        <v>4.7841010040063262E-2</v>
      </c>
      <c r="J41" s="19">
        <f t="shared" si="5"/>
        <v>1164740594.6391268</v>
      </c>
      <c r="K41" s="19">
        <f t="shared" si="6"/>
        <v>13976887135.669521</v>
      </c>
      <c r="L41">
        <v>12</v>
      </c>
      <c r="M41" s="23">
        <f t="shared" si="1"/>
        <v>5.1841403241717196E-2</v>
      </c>
      <c r="N41" s="23" t="str">
        <f t="shared" si="2"/>
        <v>2023-11</v>
      </c>
      <c r="O41" s="72">
        <f t="shared" si="3"/>
        <v>2023</v>
      </c>
      <c r="V41" s="22" t="s">
        <v>177</v>
      </c>
      <c r="W41" s="32">
        <v>3.1593354406744267E-2</v>
      </c>
      <c r="X41" s="18">
        <v>45384890427.5</v>
      </c>
      <c r="Z41" s="22" t="s">
        <v>215</v>
      </c>
      <c r="AA41" s="32">
        <v>3.8733707830366275E-2</v>
      </c>
      <c r="AB41" s="18">
        <v>57263044388</v>
      </c>
      <c r="AD41" s="18">
        <f>GETPIVOTDATA("Average of Average of USDC Float",$Z$37,"Year","2025")*GETPIVOTDATA("Average of Average of Weighted Yield %",$Z$37,"Year","2025")</f>
        <v>2218010030.8020873</v>
      </c>
    </row>
    <row r="42" spans="1:30" x14ac:dyDescent="0.2">
      <c r="A42" s="25">
        <f>'Circle Transparency Inputs'!A42</f>
        <v>45230</v>
      </c>
      <c r="B42" s="23">
        <f>'Circle Transparency Inputs'!D42/'Circle Transparency Inputs'!C42</f>
        <v>0.32725074196104914</v>
      </c>
      <c r="C42" s="23">
        <f>'Circle Transparency Inputs'!E42/'Circle Transparency Inputs'!C42</f>
        <v>0.58648237018560523</v>
      </c>
      <c r="D42" s="23">
        <f>'Circle Transparency Inputs'!F42/'Circle Transparency Inputs'!C42</f>
        <v>4.0616301237423102E-2</v>
      </c>
      <c r="E42" s="16">
        <v>5.6000000000000001E-2</v>
      </c>
      <c r="F42" s="16">
        <v>5.3499999999999999E-2</v>
      </c>
      <c r="G42" s="23">
        <v>0</v>
      </c>
      <c r="H42" s="19">
        <f>('Circle Transparency Inputs'!B43+'Circle Transparency Inputs'!B42)/2</f>
        <v>24913362399.5</v>
      </c>
      <c r="I42" s="23">
        <f t="shared" si="0"/>
        <v>4.9702848354748627E-2</v>
      </c>
      <c r="J42" s="19">
        <f t="shared" si="5"/>
        <v>1238265073.3492448</v>
      </c>
      <c r="K42" s="19">
        <f t="shared" si="6"/>
        <v>14859180880.190937</v>
      </c>
      <c r="L42">
        <v>12</v>
      </c>
      <c r="M42" s="23">
        <f t="shared" si="1"/>
        <v>5.3632280234992183E-2</v>
      </c>
      <c r="N42" s="23" t="str">
        <f t="shared" si="2"/>
        <v>2023-10</v>
      </c>
      <c r="O42" s="72">
        <f t="shared" si="3"/>
        <v>2023</v>
      </c>
      <c r="V42" s="22" t="s">
        <v>178</v>
      </c>
      <c r="W42" s="32">
        <v>1.2701751308947934E-2</v>
      </c>
      <c r="X42" s="18">
        <v>43373452205.5</v>
      </c>
      <c r="Z42" s="22" t="s">
        <v>173</v>
      </c>
      <c r="AA42" s="32">
        <v>4.0021020716052527E-2</v>
      </c>
      <c r="AB42" s="18">
        <v>38956784245.416664</v>
      </c>
    </row>
    <row r="43" spans="1:30" x14ac:dyDescent="0.2">
      <c r="A43" s="25">
        <f>'Circle Transparency Inputs'!A43</f>
        <v>45204</v>
      </c>
      <c r="B43" s="23">
        <f>'Circle Transparency Inputs'!D43/'Circle Transparency Inputs'!C43</f>
        <v>0.33117141978194026</v>
      </c>
      <c r="C43" s="23">
        <f>'Circle Transparency Inputs'!E43/'Circle Transparency Inputs'!C43</f>
        <v>0.58714826200648951</v>
      </c>
      <c r="D43" s="23">
        <f>'Circle Transparency Inputs'!F43/'Circle Transparency Inputs'!C43</f>
        <v>3.9630589636048701E-2</v>
      </c>
      <c r="E43" s="16">
        <v>5.6000000000000001E-2</v>
      </c>
      <c r="F43" s="16">
        <v>5.3100000000000001E-2</v>
      </c>
      <c r="G43" s="23">
        <v>0</v>
      </c>
      <c r="H43" s="19">
        <f>('Circle Transparency Inputs'!B44+'Circle Transparency Inputs'!B43)/2</f>
        <v>25065791499.5</v>
      </c>
      <c r="I43" s="23">
        <f t="shared" si="0"/>
        <v>4.9723172220333248E-2</v>
      </c>
      <c r="J43" s="19">
        <f t="shared" si="5"/>
        <v>1246350667.5686038</v>
      </c>
      <c r="K43" s="19">
        <f t="shared" si="6"/>
        <v>14956208010.823246</v>
      </c>
      <c r="L43">
        <v>12</v>
      </c>
      <c r="M43" s="23">
        <f t="shared" si="1"/>
        <v>5.3657065575776729E-2</v>
      </c>
      <c r="N43" s="23" t="str">
        <f t="shared" si="2"/>
        <v>2023-10</v>
      </c>
      <c r="O43" s="72">
        <f t="shared" si="3"/>
        <v>2023</v>
      </c>
      <c r="V43" s="22" t="s">
        <v>179</v>
      </c>
      <c r="W43" s="32">
        <v>2.300460268427245E-2</v>
      </c>
      <c r="X43" s="18">
        <v>43896243301</v>
      </c>
    </row>
    <row r="44" spans="1:30" x14ac:dyDescent="0.2">
      <c r="A44" s="25">
        <f>'Circle Transparency Inputs'!A44</f>
        <v>45198</v>
      </c>
      <c r="B44" s="23">
        <f>'Circle Transparency Inputs'!D44/'Circle Transparency Inputs'!C44</f>
        <v>0.35947337783389471</v>
      </c>
      <c r="C44" s="23">
        <f>'Circle Transparency Inputs'!E44/'Circle Transparency Inputs'!C44</f>
        <v>0.55512426126059211</v>
      </c>
      <c r="D44" s="23">
        <f>'Circle Transparency Inputs'!F44/'Circle Transparency Inputs'!C44</f>
        <v>4.0093159220859334E-2</v>
      </c>
      <c r="E44" s="16">
        <v>5.5599999999999997E-2</v>
      </c>
      <c r="F44" s="16">
        <v>5.3100000000000001E-2</v>
      </c>
      <c r="G44" s="23">
        <v>0</v>
      </c>
      <c r="H44" s="19">
        <f>('Circle Transparency Inputs'!B45+'Circle Transparency Inputs'!B44)/2</f>
        <v>25516737213.5</v>
      </c>
      <c r="I44" s="23">
        <f t="shared" si="0"/>
        <v>4.9463818080501987E-2</v>
      </c>
      <c r="J44" s="19">
        <f t="shared" si="5"/>
        <v>1262155247.5365391</v>
      </c>
      <c r="K44" s="19">
        <f t="shared" si="6"/>
        <v>15145862970.438469</v>
      </c>
      <c r="L44">
        <v>12</v>
      </c>
      <c r="M44" s="23">
        <f t="shared" si="1"/>
        <v>5.3183150630947959E-2</v>
      </c>
      <c r="N44" s="23" t="str">
        <f t="shared" si="2"/>
        <v>2023-09</v>
      </c>
      <c r="O44" s="72">
        <f t="shared" si="3"/>
        <v>2023</v>
      </c>
      <c r="V44" s="22" t="s">
        <v>180</v>
      </c>
      <c r="W44" s="32">
        <v>3.6991711921101011E-2</v>
      </c>
      <c r="X44" s="18">
        <v>43450558037.5</v>
      </c>
    </row>
    <row r="45" spans="1:30" x14ac:dyDescent="0.2">
      <c r="A45" s="25">
        <f>'Circle Transparency Inputs'!A45</f>
        <v>45183</v>
      </c>
      <c r="B45" s="23">
        <f>'Circle Transparency Inputs'!D45/'Circle Transparency Inputs'!C45</f>
        <v>0.4249677733384582</v>
      </c>
      <c r="C45" s="23">
        <f>'Circle Transparency Inputs'!E45/'Circle Transparency Inputs'!C45</f>
        <v>0.55049645643983325</v>
      </c>
      <c r="D45" s="23">
        <f>'Circle Transparency Inputs'!F45/'Circle Transparency Inputs'!C45</f>
        <v>3.8264828303223676E-2</v>
      </c>
      <c r="E45" s="16">
        <v>5.5599999999999997E-2</v>
      </c>
      <c r="F45" s="16">
        <v>5.3100000000000001E-2</v>
      </c>
      <c r="G45" s="23">
        <v>0</v>
      </c>
      <c r="H45" s="19">
        <f>('Circle Transparency Inputs'!B46+'Circle Transparency Inputs'!B45)/2</f>
        <v>26106758274.5</v>
      </c>
      <c r="I45" s="23">
        <f t="shared" si="0"/>
        <v>5.2859570034573422E-2</v>
      </c>
      <c r="J45" s="19">
        <f t="shared" si="5"/>
        <v>1379992017.3866119</v>
      </c>
      <c r="K45" s="19">
        <f t="shared" si="6"/>
        <v>16559904208.639343</v>
      </c>
      <c r="L45">
        <v>12</v>
      </c>
      <c r="M45" s="23">
        <f t="shared" si="1"/>
        <v>5.65478962927203E-2</v>
      </c>
      <c r="N45" s="23" t="str">
        <f t="shared" si="2"/>
        <v>2023-09</v>
      </c>
      <c r="O45" s="72">
        <f t="shared" si="3"/>
        <v>2023</v>
      </c>
      <c r="V45" s="22" t="s">
        <v>181</v>
      </c>
      <c r="W45" s="32">
        <v>3.8665148607011729E-2</v>
      </c>
      <c r="X45" s="18">
        <v>41977467512</v>
      </c>
    </row>
    <row r="46" spans="1:30" x14ac:dyDescent="0.2">
      <c r="A46" s="25">
        <f>'Circle Transparency Inputs'!A46</f>
        <v>45169</v>
      </c>
      <c r="B46" s="23">
        <f>'Circle Transparency Inputs'!D46/'Circle Transparency Inputs'!C46</f>
        <v>0.3380210266861931</v>
      </c>
      <c r="C46" s="23">
        <f>'Circle Transparency Inputs'!E46/'Circle Transparency Inputs'!C46</f>
        <v>0.55462455343761929</v>
      </c>
      <c r="D46" s="23">
        <f>'Circle Transparency Inputs'!F46/'Circle Transparency Inputs'!C46</f>
        <v>3.8293985702046368E-2</v>
      </c>
      <c r="E46" s="16">
        <v>5.5599999999999997E-2</v>
      </c>
      <c r="F46" s="16">
        <v>5.3100000000000001E-2</v>
      </c>
      <c r="G46" s="23">
        <v>0</v>
      </c>
      <c r="H46" s="19">
        <f>('Circle Transparency Inputs'!B47+'Circle Transparency Inputs'!B46)/2</f>
        <v>26109379511.5</v>
      </c>
      <c r="I46" s="23">
        <f t="shared" si="0"/>
        <v>4.8244532871289922E-2</v>
      </c>
      <c r="J46" s="19">
        <f t="shared" si="5"/>
        <v>1259634818.0915453</v>
      </c>
      <c r="K46" s="19">
        <f t="shared" si="6"/>
        <v>15115617817.098545</v>
      </c>
      <c r="L46">
        <v>12</v>
      </c>
      <c r="M46" s="23">
        <f t="shared" si="1"/>
        <v>5.1960517379321974E-2</v>
      </c>
      <c r="N46" s="23" t="str">
        <f t="shared" si="2"/>
        <v>2023-08</v>
      </c>
      <c r="O46" s="72">
        <f t="shared" si="3"/>
        <v>2023</v>
      </c>
      <c r="V46" s="22" t="s">
        <v>182</v>
      </c>
      <c r="W46" s="32">
        <v>4.2649018677756487E-2</v>
      </c>
      <c r="X46" s="18">
        <v>40602998551</v>
      </c>
    </row>
    <row r="47" spans="1:30" x14ac:dyDescent="0.2">
      <c r="A47" s="25">
        <f>'Circle Transparency Inputs'!A47</f>
        <v>45145</v>
      </c>
      <c r="B47" s="23">
        <f>'Circle Transparency Inputs'!D47/'Circle Transparency Inputs'!C47</f>
        <v>0.32522815933701527</v>
      </c>
      <c r="C47" s="23">
        <f>'Circle Transparency Inputs'!E47/'Circle Transparency Inputs'!C47</f>
        <v>0.61863826591983073</v>
      </c>
      <c r="D47" s="23">
        <f>'Circle Transparency Inputs'!F47/'Circle Transparency Inputs'!C47</f>
        <v>3.8251016762569735E-2</v>
      </c>
      <c r="E47" s="16">
        <v>5.5599999999999997E-2</v>
      </c>
      <c r="F47" s="16">
        <v>5.2999999999999999E-2</v>
      </c>
      <c r="G47" s="23">
        <v>0</v>
      </c>
      <c r="H47" s="19">
        <f>('Circle Transparency Inputs'!B48+'Circle Transparency Inputs'!B47)/2</f>
        <v>26236456560.5</v>
      </c>
      <c r="I47" s="23">
        <f t="shared" si="0"/>
        <v>5.0870513752889077E-2</v>
      </c>
      <c r="J47" s="19">
        <f t="shared" si="5"/>
        <v>1334662024.287992</v>
      </c>
      <c r="K47" s="19">
        <f t="shared" si="6"/>
        <v>16015944291.455904</v>
      </c>
      <c r="L47">
        <v>12</v>
      </c>
      <c r="M47" s="23">
        <f t="shared" si="1"/>
        <v>5.5015390134551936E-2</v>
      </c>
      <c r="N47" s="23" t="str">
        <f t="shared" si="2"/>
        <v>2023-08</v>
      </c>
      <c r="O47" s="72">
        <f t="shared" si="3"/>
        <v>2023</v>
      </c>
      <c r="V47" s="22" t="s">
        <v>183</v>
      </c>
      <c r="W47" s="32">
        <v>4.6203951413499714E-2</v>
      </c>
      <c r="X47" s="18">
        <v>31664686326.5</v>
      </c>
    </row>
    <row r="48" spans="1:30" x14ac:dyDescent="0.2">
      <c r="A48" s="25">
        <f>'Circle Transparency Inputs'!A48</f>
        <v>45138</v>
      </c>
      <c r="B48" s="23">
        <f>'Circle Transparency Inputs'!D48/'Circle Transparency Inputs'!C48</f>
        <v>0.22488572991872952</v>
      </c>
      <c r="C48" s="23">
        <f>'Circle Transparency Inputs'!E48/'Circle Transparency Inputs'!C48</f>
        <v>0.65890541581839457</v>
      </c>
      <c r="D48" s="23">
        <f>'Circle Transparency Inputs'!F48/'Circle Transparency Inputs'!C48</f>
        <v>3.7945338827363125E-2</v>
      </c>
      <c r="E48" s="16">
        <v>5.4899999999999997E-2</v>
      </c>
      <c r="F48" s="16">
        <v>5.3100000000000001E-2</v>
      </c>
      <c r="G48" s="23">
        <v>0</v>
      </c>
      <c r="H48" s="19">
        <f>('Circle Transparency Inputs'!B49+'Circle Transparency Inputs'!B48)/2</f>
        <v>26516037893</v>
      </c>
      <c r="I48" s="23">
        <f t="shared" si="0"/>
        <v>4.7334104152494998E-2</v>
      </c>
      <c r="J48" s="19">
        <f t="shared" si="5"/>
        <v>1255112899.3387661</v>
      </c>
      <c r="K48" s="19">
        <f t="shared" si="6"/>
        <v>15061354792.065193</v>
      </c>
      <c r="L48">
        <v>12</v>
      </c>
      <c r="M48" s="23">
        <f t="shared" si="1"/>
        <v>5.1748770438478239E-2</v>
      </c>
      <c r="N48" s="23" t="str">
        <f t="shared" si="2"/>
        <v>2023-07</v>
      </c>
      <c r="O48" s="72">
        <f t="shared" si="3"/>
        <v>2023</v>
      </c>
      <c r="V48" s="22" t="s">
        <v>184</v>
      </c>
      <c r="W48" s="32">
        <v>4.2029073747304808E-2</v>
      </c>
      <c r="X48" s="18">
        <v>29467676552.5</v>
      </c>
    </row>
    <row r="49" spans="1:24" x14ac:dyDescent="0.2">
      <c r="A49" s="25">
        <f>'Circle Transparency Inputs'!A49</f>
        <v>45131</v>
      </c>
      <c r="B49" s="23">
        <f>'Circle Transparency Inputs'!D49/'Circle Transparency Inputs'!C49</f>
        <v>0.31447310748455848</v>
      </c>
      <c r="C49" s="23">
        <f>'Circle Transparency Inputs'!E49/'Circle Transparency Inputs'!C49</f>
        <v>0.59874043935565646</v>
      </c>
      <c r="D49" s="23">
        <f>'Circle Transparency Inputs'!F49/'Circle Transparency Inputs'!C49</f>
        <v>3.7446397870865025E-2</v>
      </c>
      <c r="E49" s="16">
        <v>5.4899999999999997E-2</v>
      </c>
      <c r="F49" s="16">
        <v>5.0500000000000003E-2</v>
      </c>
      <c r="G49" s="23">
        <v>0</v>
      </c>
      <c r="H49" s="19">
        <f>('Circle Transparency Inputs'!B50+'Circle Transparency Inputs'!B49)/2</f>
        <v>27004536213</v>
      </c>
      <c r="I49" s="23">
        <f t="shared" si="0"/>
        <v>4.7500965788362909E-2</v>
      </c>
      <c r="J49" s="19">
        <f t="shared" si="5"/>
        <v>1282741550.7843204</v>
      </c>
      <c r="K49" s="19">
        <f t="shared" si="6"/>
        <v>15392898609.411844</v>
      </c>
      <c r="L49">
        <v>12</v>
      </c>
      <c r="M49" s="23">
        <f t="shared" si="1"/>
        <v>5.1512526732045816E-2</v>
      </c>
      <c r="N49" s="23" t="str">
        <f t="shared" si="2"/>
        <v>2023-07</v>
      </c>
      <c r="O49" s="72">
        <f t="shared" si="3"/>
        <v>2023</v>
      </c>
      <c r="V49" s="22" t="s">
        <v>185</v>
      </c>
      <c r="W49" s="32">
        <v>4.2438638082735541E-2</v>
      </c>
      <c r="X49" s="18">
        <v>28514158000.25</v>
      </c>
    </row>
    <row r="50" spans="1:24" x14ac:dyDescent="0.2">
      <c r="A50" s="25">
        <f>'Circle Transparency Inputs'!A50</f>
        <v>45107</v>
      </c>
      <c r="B50" s="23">
        <f>'Circle Transparency Inputs'!D50/'Circle Transparency Inputs'!C50</f>
        <v>0.1979880545381433</v>
      </c>
      <c r="C50" s="23">
        <f>'Circle Transparency Inputs'!E50/'Circle Transparency Inputs'!C50</f>
        <v>0.67260599571255153</v>
      </c>
      <c r="D50" s="23">
        <f>'Circle Transparency Inputs'!F50/'Circle Transparency Inputs'!C50</f>
        <v>3.6599865315175673E-2</v>
      </c>
      <c r="E50" s="16">
        <v>5.4199999999999998E-2</v>
      </c>
      <c r="F50" s="16">
        <v>5.0900000000000001E-2</v>
      </c>
      <c r="G50" s="23">
        <v>0</v>
      </c>
      <c r="H50" s="19">
        <f>('Circle Transparency Inputs'!B51+'Circle Transparency Inputs'!B50)/2</f>
        <v>28142710104.5</v>
      </c>
      <c r="I50" s="23">
        <f t="shared" si="0"/>
        <v>4.4966597737736237E-2</v>
      </c>
      <c r="J50" s="19">
        <f t="shared" si="5"/>
        <v>1265481924.5187764</v>
      </c>
      <c r="K50" s="19">
        <f t="shared" si="6"/>
        <v>15185783094.225317</v>
      </c>
      <c r="L50">
        <v>12</v>
      </c>
      <c r="M50" s="23">
        <f t="shared" si="1"/>
        <v>4.9473057909010333E-2</v>
      </c>
      <c r="N50" s="23" t="str">
        <f t="shared" si="2"/>
        <v>2023-06</v>
      </c>
      <c r="O50" s="72">
        <f t="shared" si="3"/>
        <v>2023</v>
      </c>
      <c r="V50" s="22" t="s">
        <v>186</v>
      </c>
      <c r="W50" s="32">
        <v>4.7417534970428957E-2</v>
      </c>
      <c r="X50" s="18">
        <v>26760287053</v>
      </c>
    </row>
    <row r="51" spans="1:24" x14ac:dyDescent="0.2">
      <c r="A51" s="25">
        <f>'Circle Transparency Inputs'!A51</f>
        <v>45079</v>
      </c>
      <c r="B51" s="23">
        <f>'Circle Transparency Inputs'!D51/'Circle Transparency Inputs'!C51</f>
        <v>0</v>
      </c>
      <c r="C51" s="23">
        <f>'Circle Transparency Inputs'!E51/'Circle Transparency Inputs'!C51</f>
        <v>0.78719286839713709</v>
      </c>
      <c r="D51" s="23">
        <f>'Circle Transparency Inputs'!F51/'Circle Transparency Inputs'!C51</f>
        <v>6.9104661438792611E-2</v>
      </c>
      <c r="E51" s="16">
        <v>5.4199999999999998E-2</v>
      </c>
      <c r="F51" s="16">
        <v>5.0700000000000002E-2</v>
      </c>
      <c r="G51" s="23">
        <v>0</v>
      </c>
      <c r="H51" s="19">
        <f>('Circle Transparency Inputs'!B52+'Circle Transparency Inputs'!B51)/2</f>
        <v>28885605896</v>
      </c>
      <c r="I51" s="23">
        <f t="shared" si="0"/>
        <v>3.9910678427734853E-2</v>
      </c>
      <c r="J51" s="19">
        <f t="shared" si="5"/>
        <v>1152844128.1055379</v>
      </c>
      <c r="K51" s="19">
        <f t="shared" si="6"/>
        <v>13834129537.266455</v>
      </c>
      <c r="L51">
        <v>12</v>
      </c>
      <c r="M51" s="23">
        <f t="shared" si="1"/>
        <v>4.5184870645995669E-2</v>
      </c>
      <c r="N51" s="23" t="str">
        <f t="shared" si="2"/>
        <v>2023-06</v>
      </c>
      <c r="O51" s="72">
        <f t="shared" si="3"/>
        <v>2023</v>
      </c>
      <c r="V51" s="22" t="s">
        <v>187</v>
      </c>
      <c r="W51" s="32">
        <v>4.9557523312089499E-2</v>
      </c>
      <c r="X51" s="18">
        <v>26172918036</v>
      </c>
    </row>
    <row r="52" spans="1:24" x14ac:dyDescent="0.2">
      <c r="A52" s="25">
        <f>'Circle Transparency Inputs'!A52</f>
        <v>45077</v>
      </c>
      <c r="B52" s="23">
        <f>'Circle Transparency Inputs'!D52/'Circle Transparency Inputs'!C52</f>
        <v>0</v>
      </c>
      <c r="C52" s="23">
        <f>'Circle Transparency Inputs'!E52/'Circle Transparency Inputs'!C52</f>
        <v>0.79107682120027223</v>
      </c>
      <c r="D52" s="23">
        <f>'Circle Transparency Inputs'!F52/'Circle Transparency Inputs'!C52</f>
        <v>6.9383855202489311E-2</v>
      </c>
      <c r="E52" s="16">
        <v>5.3100000000000001E-2</v>
      </c>
      <c r="F52" s="16">
        <v>5.0799999999999998E-2</v>
      </c>
      <c r="G52" s="23">
        <v>0</v>
      </c>
      <c r="H52" s="19">
        <f>('Circle Transparency Inputs'!B53+'Circle Transparency Inputs'!B52)/2</f>
        <v>29061681698.5</v>
      </c>
      <c r="I52" s="23">
        <f t="shared" si="0"/>
        <v>4.018670251697383E-2</v>
      </c>
      <c r="J52" s="19">
        <f t="shared" si="5"/>
        <v>1167893157.0606022</v>
      </c>
      <c r="K52" s="19">
        <f t="shared" si="6"/>
        <v>14014717884.727226</v>
      </c>
      <c r="L52">
        <v>12</v>
      </c>
      <c r="M52" s="23">
        <f t="shared" si="1"/>
        <v>4.5486917219015648E-2</v>
      </c>
      <c r="N52" s="23" t="str">
        <f t="shared" si="2"/>
        <v>2023-05</v>
      </c>
      <c r="O52" s="72">
        <f t="shared" si="3"/>
        <v>2023</v>
      </c>
      <c r="V52" s="22" t="s">
        <v>188</v>
      </c>
      <c r="W52" s="32">
        <v>5.1161694057537704E-2</v>
      </c>
      <c r="X52" s="18">
        <v>25811747744</v>
      </c>
    </row>
    <row r="53" spans="1:24" x14ac:dyDescent="0.2">
      <c r="A53" s="25">
        <f>'Circle Transparency Inputs'!A53</f>
        <v>45069</v>
      </c>
      <c r="B53" s="23">
        <f>'Circle Transparency Inputs'!D53/'Circle Transparency Inputs'!C53</f>
        <v>0.40094245487962199</v>
      </c>
      <c r="C53" s="23">
        <f>'Circle Transparency Inputs'!E53/'Circle Transparency Inputs'!C53</f>
        <v>0.44715644799065074</v>
      </c>
      <c r="D53" s="23">
        <f>'Circle Transparency Inputs'!F53/'Circle Transparency Inputs'!C53</f>
        <v>6.8252854681053021E-2</v>
      </c>
      <c r="E53" s="16">
        <v>5.3100000000000001E-2</v>
      </c>
      <c r="F53" s="16">
        <v>5.0500000000000003E-2</v>
      </c>
      <c r="G53" s="23">
        <v>0</v>
      </c>
      <c r="H53" s="19">
        <f>('Circle Transparency Inputs'!B54+'Circle Transparency Inputs'!B53)/2</f>
        <v>29873671406.5</v>
      </c>
      <c r="I53" s="23">
        <f t="shared" si="0"/>
        <v>4.3871444977635787E-2</v>
      </c>
      <c r="J53" s="19">
        <f t="shared" si="5"/>
        <v>1310601131.3902361</v>
      </c>
      <c r="K53" s="19">
        <f t="shared" si="6"/>
        <v>15727213576.682835</v>
      </c>
      <c r="L53">
        <v>12</v>
      </c>
      <c r="M53" s="23">
        <f t="shared" si="1"/>
        <v>4.6867393179173156E-2</v>
      </c>
      <c r="N53" s="23" t="str">
        <f t="shared" si="2"/>
        <v>2023-05</v>
      </c>
      <c r="O53" s="72">
        <f t="shared" si="3"/>
        <v>2023</v>
      </c>
      <c r="V53" s="22" t="s">
        <v>189</v>
      </c>
      <c r="W53" s="32">
        <v>4.9713010287540937E-2</v>
      </c>
      <c r="X53" s="18">
        <v>24989576949.5</v>
      </c>
    </row>
    <row r="54" spans="1:24" x14ac:dyDescent="0.2">
      <c r="A54" s="25">
        <f>'Circle Transparency Inputs'!A54</f>
        <v>45044</v>
      </c>
      <c r="B54" s="23">
        <f>'Circle Transparency Inputs'!D54/'Circle Transparency Inputs'!C54</f>
        <v>0.98678452868799948</v>
      </c>
      <c r="C54" s="23">
        <f>'Circle Transparency Inputs'!E54/'Circle Transparency Inputs'!C54</f>
        <v>0</v>
      </c>
      <c r="D54" s="23">
        <f>'Circle Transparency Inputs'!F54/'Circle Transparency Inputs'!C54</f>
        <v>6.7955082100989245E-2</v>
      </c>
      <c r="E54" s="16">
        <v>5.0700000000000002E-2</v>
      </c>
      <c r="F54" s="16">
        <v>4.8099999999999997E-2</v>
      </c>
      <c r="G54" s="23">
        <v>0</v>
      </c>
      <c r="H54" s="19">
        <f>('Circle Transparency Inputs'!B55+'Circle Transparency Inputs'!B54)/2</f>
        <v>31158565135.5</v>
      </c>
      <c r="I54" s="23">
        <f t="shared" si="0"/>
        <v>5.0029975604481573E-2</v>
      </c>
      <c r="J54" s="19">
        <f t="shared" si="5"/>
        <v>1558862253.599715</v>
      </c>
      <c r="K54" s="19">
        <f t="shared" si="6"/>
        <v>18706347043.196579</v>
      </c>
      <c r="L54">
        <v>12</v>
      </c>
      <c r="M54" s="23">
        <f t="shared" si="1"/>
        <v>5.0029975604481573E-2</v>
      </c>
      <c r="N54" s="23" t="str">
        <f t="shared" si="2"/>
        <v>2023-04</v>
      </c>
      <c r="O54" s="72">
        <f t="shared" si="3"/>
        <v>2023</v>
      </c>
      <c r="V54" s="22" t="s">
        <v>190</v>
      </c>
      <c r="W54" s="32">
        <v>4.7986173095446116E-2</v>
      </c>
      <c r="X54" s="18">
        <v>24298336691.25</v>
      </c>
    </row>
    <row r="55" spans="1:24" x14ac:dyDescent="0.2">
      <c r="A55" s="25">
        <f>'Circle Transparency Inputs'!A55</f>
        <v>45030</v>
      </c>
      <c r="B55" s="23">
        <f>'Circle Transparency Inputs'!D55/'Circle Transparency Inputs'!C55</f>
        <v>0.83585655271238368</v>
      </c>
      <c r="C55" s="23">
        <f>'Circle Transparency Inputs'!E55/'Circle Transparency Inputs'!C55</f>
        <v>0</v>
      </c>
      <c r="D55" s="23">
        <f>'Circle Transparency Inputs'!F55/'Circle Transparency Inputs'!C55</f>
        <v>3.1390332464189687E-2</v>
      </c>
      <c r="E55" s="16">
        <v>5.0700000000000002E-2</v>
      </c>
      <c r="F55" s="16">
        <v>4.8000000000000001E-2</v>
      </c>
      <c r="G55" s="23">
        <v>0</v>
      </c>
      <c r="H55" s="19">
        <f>('Circle Transparency Inputs'!B56+'Circle Transparency Inputs'!B55)/2</f>
        <v>32170807517.5</v>
      </c>
      <c r="I55" s="23">
        <f t="shared" si="0"/>
        <v>4.2377927222517854E-2</v>
      </c>
      <c r="J55" s="19">
        <f t="shared" si="5"/>
        <v>1363332139.6662452</v>
      </c>
      <c r="K55" s="19">
        <f t="shared" si="6"/>
        <v>16359985675.994942</v>
      </c>
      <c r="L55">
        <v>12</v>
      </c>
      <c r="M55" s="23">
        <f t="shared" si="1"/>
        <v>4.2377927222517854E-2</v>
      </c>
      <c r="N55" s="23" t="str">
        <f t="shared" si="2"/>
        <v>2023-04</v>
      </c>
      <c r="O55" s="72">
        <f t="shared" si="3"/>
        <v>2023</v>
      </c>
      <c r="V55" s="22" t="s">
        <v>191</v>
      </c>
      <c r="W55" s="32">
        <v>4.7977502623504559E-2</v>
      </c>
      <c r="X55" s="18">
        <v>24398609877</v>
      </c>
    </row>
    <row r="56" spans="1:24" x14ac:dyDescent="0.2">
      <c r="A56" s="25">
        <f>'Circle Transparency Inputs'!A56</f>
        <v>45016</v>
      </c>
      <c r="B56" s="23">
        <f>'Circle Transparency Inputs'!D56/'Circle Transparency Inputs'!C56</f>
        <v>0.87531611165786638</v>
      </c>
      <c r="C56" s="23">
        <f>'Circle Transparency Inputs'!E56/'Circle Transparency Inputs'!C56</f>
        <v>0</v>
      </c>
      <c r="D56" s="23">
        <f>'Circle Transparency Inputs'!F56/'Circle Transparency Inputs'!C56</f>
        <v>1.5399983693108476E-2</v>
      </c>
      <c r="E56" s="16">
        <v>4.8599999999999997E-2</v>
      </c>
      <c r="F56" s="16">
        <v>4.87E-2</v>
      </c>
      <c r="G56" s="23">
        <v>0</v>
      </c>
      <c r="H56" s="19">
        <f>('Circle Transparency Inputs'!B57+'Circle Transparency Inputs'!B56)/2</f>
        <v>38131432696</v>
      </c>
      <c r="I56" s="23">
        <f t="shared" si="0"/>
        <v>4.2540363026572305E-2</v>
      </c>
      <c r="J56" s="19">
        <f t="shared" si="5"/>
        <v>1622124989.6111486</v>
      </c>
      <c r="K56" s="19">
        <f t="shared" si="6"/>
        <v>19465499875.333782</v>
      </c>
      <c r="L56">
        <v>12</v>
      </c>
      <c r="M56" s="23">
        <f t="shared" si="1"/>
        <v>4.2540363026572305E-2</v>
      </c>
      <c r="N56" s="23" t="str">
        <f t="shared" si="2"/>
        <v>2023-03</v>
      </c>
      <c r="O56" s="72">
        <f t="shared" si="3"/>
        <v>2023</v>
      </c>
      <c r="V56" s="22" t="s">
        <v>192</v>
      </c>
      <c r="W56" s="32">
        <v>4.5572267092022653E-2</v>
      </c>
      <c r="X56" s="18">
        <v>25429157934</v>
      </c>
    </row>
    <row r="57" spans="1:24" x14ac:dyDescent="0.2">
      <c r="A57" s="25">
        <f>'Circle Transparency Inputs'!A57</f>
        <v>44991</v>
      </c>
      <c r="B57" s="23">
        <f>'Circle Transparency Inputs'!D57/'Circle Transparency Inputs'!C57</f>
        <v>0.87978753763252415</v>
      </c>
      <c r="C57" s="23">
        <f>'Circle Transparency Inputs'!E57/'Circle Transparency Inputs'!C57</f>
        <v>0</v>
      </c>
      <c r="D57" s="23">
        <f>'Circle Transparency Inputs'!F57/'Circle Transparency Inputs'!C57</f>
        <v>4.3626853188467041E-3</v>
      </c>
      <c r="E57" s="16">
        <v>4.8599999999999997E-2</v>
      </c>
      <c r="F57" s="16">
        <v>4.5499999999999999E-2</v>
      </c>
      <c r="G57" s="23">
        <v>0</v>
      </c>
      <c r="H57" s="19">
        <f>('Circle Transparency Inputs'!B58+'Circle Transparency Inputs'!B57)/2</f>
        <v>43074564406</v>
      </c>
      <c r="I57" s="23">
        <f t="shared" si="0"/>
        <v>4.2757674328940669E-2</v>
      </c>
      <c r="J57" s="19">
        <f t="shared" si="5"/>
        <v>1841768196.7327278</v>
      </c>
      <c r="K57" s="19">
        <f t="shared" si="6"/>
        <v>22101218360.792732</v>
      </c>
      <c r="L57">
        <v>12</v>
      </c>
      <c r="M57" s="23">
        <f t="shared" si="1"/>
        <v>4.2757674328940669E-2</v>
      </c>
      <c r="N57" s="23" t="str">
        <f t="shared" si="2"/>
        <v>2023-03</v>
      </c>
      <c r="O57" s="72">
        <f t="shared" si="3"/>
        <v>2023</v>
      </c>
      <c r="V57" s="22" t="s">
        <v>193</v>
      </c>
      <c r="W57" s="32">
        <v>4.6477115039953207E-2</v>
      </c>
      <c r="X57" s="18">
        <v>27886910206</v>
      </c>
    </row>
    <row r="58" spans="1:24" x14ac:dyDescent="0.2">
      <c r="A58" s="25">
        <f>'Circle Transparency Inputs'!A58</f>
        <v>44985</v>
      </c>
      <c r="B58" s="23">
        <f>'Circle Transparency Inputs'!D58/'Circle Transparency Inputs'!C58</f>
        <v>0.74611398648881644</v>
      </c>
      <c r="C58" s="23">
        <f>'Circle Transparency Inputs'!E58/'Circle Transparency Inputs'!C58</f>
        <v>0</v>
      </c>
      <c r="D58" s="23">
        <f>'Circle Transparency Inputs'!F58/'Circle Transparency Inputs'!C58</f>
        <v>7.1212224991449571E-3</v>
      </c>
      <c r="E58" s="16">
        <v>4.7899999999999998E-2</v>
      </c>
      <c r="F58" s="16">
        <v>4.5499999999999999E-2</v>
      </c>
      <c r="G58" s="23">
        <v>0</v>
      </c>
      <c r="H58" s="19">
        <f>('Circle Transparency Inputs'!B59+'Circle Transparency Inputs'!B58)/2</f>
        <v>42006671812</v>
      </c>
      <c r="I58" s="23">
        <f t="shared" si="0"/>
        <v>3.5738859952814304E-2</v>
      </c>
      <c r="J58" s="19">
        <f t="shared" si="5"/>
        <v>1501270560.9729004</v>
      </c>
      <c r="K58" s="19">
        <f t="shared" si="6"/>
        <v>18015246731.674805</v>
      </c>
      <c r="L58">
        <v>12</v>
      </c>
      <c r="M58" s="23">
        <f t="shared" si="1"/>
        <v>3.5738859952814304E-2</v>
      </c>
      <c r="N58" s="23" t="str">
        <f t="shared" si="2"/>
        <v>2023-02</v>
      </c>
      <c r="O58" s="72">
        <f t="shared" si="3"/>
        <v>2023</v>
      </c>
      <c r="V58" s="22" t="s">
        <v>194</v>
      </c>
      <c r="W58" s="32">
        <v>4.5233025912485805E-2</v>
      </c>
      <c r="X58" s="18">
        <v>31384488323</v>
      </c>
    </row>
    <row r="59" spans="1:24" x14ac:dyDescent="0.2">
      <c r="A59" s="25">
        <f>'Circle Transparency Inputs'!A59</f>
        <v>44966</v>
      </c>
      <c r="B59" s="23">
        <f>'Circle Transparency Inputs'!D59/'Circle Transparency Inputs'!C59</f>
        <v>0.86829722883526439</v>
      </c>
      <c r="C59" s="23">
        <f>'Circle Transparency Inputs'!E59/'Circle Transparency Inputs'!C59</f>
        <v>0</v>
      </c>
      <c r="D59" s="23">
        <f>'Circle Transparency Inputs'!F59/'Circle Transparency Inputs'!C59</f>
        <v>7.1815895218400498E-3</v>
      </c>
      <c r="E59" s="16">
        <v>4.7899999999999998E-2</v>
      </c>
      <c r="F59" s="16">
        <v>4.5499999999999999E-2</v>
      </c>
      <c r="G59" s="23">
        <v>0</v>
      </c>
      <c r="H59" s="19">
        <f>('Circle Transparency Inputs'!B60+'Circle Transparency Inputs'!B59)/2</f>
        <v>41948263212</v>
      </c>
      <c r="I59" s="23">
        <f t="shared" si="0"/>
        <v>4.159143726120916E-2</v>
      </c>
      <c r="J59" s="19">
        <f t="shared" si="5"/>
        <v>1744688557.5985863</v>
      </c>
      <c r="K59" s="19">
        <f t="shared" si="6"/>
        <v>20936262691.183037</v>
      </c>
      <c r="L59">
        <v>12</v>
      </c>
      <c r="M59" s="23">
        <f t="shared" si="1"/>
        <v>4.159143726120916E-2</v>
      </c>
      <c r="N59" s="23" t="str">
        <f t="shared" si="2"/>
        <v>2023-02</v>
      </c>
      <c r="O59" s="72">
        <f t="shared" si="3"/>
        <v>2023</v>
      </c>
      <c r="V59" s="22" t="s">
        <v>195</v>
      </c>
      <c r="W59" s="32">
        <v>4.7762530204125339E-2</v>
      </c>
      <c r="X59" s="18">
        <v>32771261275.5</v>
      </c>
    </row>
    <row r="60" spans="1:24" x14ac:dyDescent="0.2">
      <c r="A60" s="25">
        <f>'Circle Transparency Inputs'!A60</f>
        <v>44957</v>
      </c>
      <c r="B60" s="23">
        <f>'Circle Transparency Inputs'!D60/'Circle Transparency Inputs'!C60</f>
        <v>0.79657634286093515</v>
      </c>
      <c r="C60" s="23">
        <f>'Circle Transparency Inputs'!E60/'Circle Transparency Inputs'!C60</f>
        <v>0</v>
      </c>
      <c r="D60" s="23">
        <f>'Circle Transparency Inputs'!F60/'Circle Transparency Inputs'!C60</f>
        <v>1.2930649296009182E-3</v>
      </c>
      <c r="E60" s="16">
        <v>4.6899999999999997E-2</v>
      </c>
      <c r="F60" s="16">
        <v>4.3099999999999999E-2</v>
      </c>
      <c r="G60" s="23">
        <v>0</v>
      </c>
      <c r="H60" s="19">
        <f>('Circle Transparency Inputs'!B61+'Circle Transparency Inputs'!B60)/2</f>
        <v>42884185702</v>
      </c>
      <c r="I60" s="23">
        <f t="shared" si="0"/>
        <v>3.7359430480177855E-2</v>
      </c>
      <c r="J60" s="19">
        <f t="shared" si="5"/>
        <v>1602128754.4329062</v>
      </c>
      <c r="K60" s="19">
        <f t="shared" si="6"/>
        <v>19225545053.194874</v>
      </c>
      <c r="L60">
        <v>12</v>
      </c>
      <c r="M60" s="23">
        <f t="shared" si="1"/>
        <v>3.7359430480177855E-2</v>
      </c>
      <c r="N60" s="23" t="str">
        <f t="shared" si="2"/>
        <v>2023-01</v>
      </c>
      <c r="O60" s="72">
        <f t="shared" si="3"/>
        <v>2023</v>
      </c>
      <c r="V60" s="22" t="s">
        <v>196</v>
      </c>
      <c r="W60" s="32">
        <v>4.7485783180200594E-2</v>
      </c>
      <c r="X60" s="18">
        <v>32912009038.5</v>
      </c>
    </row>
    <row r="61" spans="1:24" x14ac:dyDescent="0.2">
      <c r="A61" s="25">
        <f>'Circle Transparency Inputs'!A61</f>
        <v>44943</v>
      </c>
      <c r="B61" s="23">
        <f>'Circle Transparency Inputs'!D61/'Circle Transparency Inputs'!C61</f>
        <v>0.78089538085339372</v>
      </c>
      <c r="C61" s="23">
        <f>'Circle Transparency Inputs'!E61/'Circle Transparency Inputs'!C61</f>
        <v>0</v>
      </c>
      <c r="D61" s="23">
        <f>'Circle Transparency Inputs'!F61/'Circle Transparency Inputs'!C61</f>
        <v>1.2198043183878015E-3</v>
      </c>
      <c r="E61" s="16">
        <v>4.6899999999999997E-2</v>
      </c>
      <c r="F61" s="16">
        <v>4.3099999999999999E-2</v>
      </c>
      <c r="G61" s="23">
        <v>0</v>
      </c>
      <c r="H61" s="19">
        <f>('Circle Transparency Inputs'!B62+'Circle Transparency Inputs'!B61)/2</f>
        <v>44016930373</v>
      </c>
      <c r="I61" s="23">
        <f t="shared" si="0"/>
        <v>3.6623993362024161E-2</v>
      </c>
      <c r="J61" s="19">
        <f t="shared" si="5"/>
        <v>1612075765.7974317</v>
      </c>
      <c r="K61" s="19">
        <f t="shared" si="6"/>
        <v>19344909189.56918</v>
      </c>
      <c r="L61">
        <v>12</v>
      </c>
      <c r="M61" s="23">
        <f t="shared" si="1"/>
        <v>3.6623993362024161E-2</v>
      </c>
      <c r="N61" s="23" t="str">
        <f t="shared" si="2"/>
        <v>2023-01</v>
      </c>
      <c r="O61" s="72">
        <f t="shared" si="3"/>
        <v>2023</v>
      </c>
      <c r="V61" s="22" t="s">
        <v>197</v>
      </c>
      <c r="W61" s="32">
        <v>4.7093347349589448E-2</v>
      </c>
      <c r="X61" s="18">
        <v>32131414303.5</v>
      </c>
    </row>
    <row r="62" spans="1:24" x14ac:dyDescent="0.2">
      <c r="A62" s="25">
        <f>'Circle Transparency Inputs'!A62</f>
        <v>44926</v>
      </c>
      <c r="B62" s="23">
        <f>'Circle Transparency Inputs'!D62/'Circle Transparency Inputs'!C62</f>
        <v>0.52762850193285438</v>
      </c>
      <c r="C62" s="23">
        <f>'Circle Transparency Inputs'!E62/'Circle Transparency Inputs'!C62</f>
        <v>0</v>
      </c>
      <c r="D62" s="23">
        <f>'Circle Transparency Inputs'!F62/'Circle Transparency Inputs'!C62</f>
        <v>1.0961511565129734E-3</v>
      </c>
      <c r="E62" s="16">
        <v>4.36E-2</v>
      </c>
      <c r="F62" s="16">
        <v>4.2999999999999997E-2</v>
      </c>
      <c r="G62" s="23">
        <v>0</v>
      </c>
      <c r="H62" s="19">
        <f>('Circle Transparency Inputs'!B63+'Circle Transparency Inputs'!B62)/2</f>
        <v>43896243301</v>
      </c>
      <c r="I62" s="23">
        <f t="shared" si="0"/>
        <v>2.300460268427245E-2</v>
      </c>
      <c r="J62" s="19">
        <f t="shared" si="5"/>
        <v>1009815636.4716612</v>
      </c>
      <c r="K62" s="19">
        <f t="shared" si="6"/>
        <v>12117787637.659935</v>
      </c>
      <c r="L62">
        <v>12</v>
      </c>
      <c r="M62" s="23">
        <f t="shared" si="1"/>
        <v>2.300460268427245E-2</v>
      </c>
      <c r="N62" s="23" t="str">
        <f t="shared" si="2"/>
        <v>2022-12</v>
      </c>
      <c r="O62" s="72">
        <f t="shared" si="3"/>
        <v>2022</v>
      </c>
      <c r="V62" s="22" t="s">
        <v>198</v>
      </c>
      <c r="W62" s="32">
        <v>4.6562962040619008E-2</v>
      </c>
      <c r="X62" s="18">
        <v>33147402468.75</v>
      </c>
    </row>
    <row r="63" spans="1:24" x14ac:dyDescent="0.2">
      <c r="A63" s="25">
        <f>'Circle Transparency Inputs'!A63</f>
        <v>44895</v>
      </c>
      <c r="B63" s="23">
        <f>'Circle Transparency Inputs'!D63/'Circle Transparency Inputs'!C63</f>
        <v>0.29402202104046143</v>
      </c>
      <c r="C63" s="23">
        <f>'Circle Transparency Inputs'!E63/'Circle Transparency Inputs'!C63</f>
        <v>0</v>
      </c>
      <c r="D63" s="23">
        <f>'Circle Transparency Inputs'!F63/'Circle Transparency Inputs'!C63</f>
        <v>1.0958241091459542E-3</v>
      </c>
      <c r="E63" s="16">
        <v>4.3200000000000002E-2</v>
      </c>
      <c r="F63" s="16">
        <v>3.8199999999999998E-2</v>
      </c>
      <c r="G63" s="23">
        <v>0</v>
      </c>
      <c r="H63" s="19">
        <f>('Circle Transparency Inputs'!B64+'Circle Transparency Inputs'!B63)/2</f>
        <v>43373452205.5</v>
      </c>
      <c r="I63" s="23">
        <f t="shared" si="0"/>
        <v>1.2701751308947934E-2</v>
      </c>
      <c r="J63" s="19">
        <f t="shared" si="5"/>
        <v>550918803.32480025</v>
      </c>
      <c r="K63" s="19">
        <f t="shared" si="6"/>
        <v>6611025639.897603</v>
      </c>
      <c r="L63">
        <v>12</v>
      </c>
      <c r="M63" s="23">
        <f t="shared" si="1"/>
        <v>1.2701751308947934E-2</v>
      </c>
      <c r="N63" s="23" t="str">
        <f t="shared" si="2"/>
        <v>2022-11</v>
      </c>
      <c r="O63" s="72">
        <f t="shared" si="3"/>
        <v>2022</v>
      </c>
      <c r="V63" s="22" t="s">
        <v>199</v>
      </c>
      <c r="W63" s="32">
        <v>4.584683152838169E-2</v>
      </c>
      <c r="X63" s="18">
        <v>34217547876.75</v>
      </c>
    </row>
    <row r="64" spans="1:24" x14ac:dyDescent="0.2">
      <c r="A64" s="25">
        <f>'Circle Transparency Inputs'!A64</f>
        <v>44865</v>
      </c>
      <c r="B64" s="23">
        <f>'Circle Transparency Inputs'!D64/'Circle Transparency Inputs'!C64</f>
        <v>0.81636574694429642</v>
      </c>
      <c r="C64" s="23">
        <f>'Circle Transparency Inputs'!E64/'Circle Transparency Inputs'!C64</f>
        <v>0</v>
      </c>
      <c r="D64" s="23">
        <f>'Circle Transparency Inputs'!F64/'Circle Transparency Inputs'!C64</f>
        <v>0.18421956980391879</v>
      </c>
      <c r="E64" s="16">
        <v>3.8699999999999998E-2</v>
      </c>
      <c r="F64" s="16">
        <v>3.0499999999999999E-2</v>
      </c>
      <c r="G64" s="23">
        <v>0</v>
      </c>
      <c r="H64" s="19">
        <f>('Circle Transparency Inputs'!B65+'Circle Transparency Inputs'!B64)/2</f>
        <v>45384890427.5</v>
      </c>
      <c r="I64" s="23">
        <f t="shared" si="0"/>
        <v>3.1593354406744267E-2</v>
      </c>
      <c r="J64" s="19">
        <f t="shared" si="5"/>
        <v>1433860927.9872627</v>
      </c>
      <c r="K64" s="19">
        <f t="shared" si="6"/>
        <v>17206331135.847153</v>
      </c>
      <c r="L64">
        <v>12</v>
      </c>
      <c r="M64" s="23">
        <f t="shared" si="1"/>
        <v>3.1593354406744267E-2</v>
      </c>
      <c r="N64" s="23" t="str">
        <f t="shared" si="2"/>
        <v>2022-10</v>
      </c>
      <c r="O64" s="72">
        <f t="shared" si="3"/>
        <v>2022</v>
      </c>
      <c r="V64" s="22" t="s">
        <v>200</v>
      </c>
      <c r="W64" s="32">
        <v>4.1800682647335045E-2</v>
      </c>
      <c r="X64" s="18">
        <v>35388519762.25</v>
      </c>
    </row>
    <row r="65" spans="1:24" x14ac:dyDescent="0.2">
      <c r="A65" s="25">
        <f>'Circle Transparency Inputs'!A65</f>
        <v>44834</v>
      </c>
      <c r="B65" s="23">
        <f>'Circle Transparency Inputs'!D65/'Circle Transparency Inputs'!C65</f>
        <v>0.80596145055248514</v>
      </c>
      <c r="C65" s="23">
        <f>'Circle Transparency Inputs'!E65/'Circle Transparency Inputs'!C65</f>
        <v>0</v>
      </c>
      <c r="D65" s="23">
        <f>'Circle Transparency Inputs'!F65/'Circle Transparency Inputs'!C65</f>
        <v>0.19447029577310207</v>
      </c>
      <c r="E65" s="16">
        <v>3.2199999999999999E-2</v>
      </c>
      <c r="F65" s="16">
        <v>2.98E-2</v>
      </c>
      <c r="G65" s="23">
        <v>0</v>
      </c>
      <c r="H65" s="19">
        <f>('Circle Transparency Inputs'!B66+'Circle Transparency Inputs'!B65)/2</f>
        <v>49759937969.5</v>
      </c>
      <c r="I65" s="23">
        <f t="shared" si="0"/>
        <v>2.5951958707790022E-2</v>
      </c>
      <c r="J65" s="19">
        <f t="shared" si="5"/>
        <v>1291367855.4866569</v>
      </c>
      <c r="K65" s="19">
        <f t="shared" si="6"/>
        <v>15496414265.839882</v>
      </c>
      <c r="L65">
        <v>12</v>
      </c>
      <c r="M65" s="23">
        <f t="shared" si="1"/>
        <v>2.5951958707790022E-2</v>
      </c>
      <c r="N65" s="23" t="str">
        <f t="shared" si="2"/>
        <v>2022-09</v>
      </c>
      <c r="O65" s="72">
        <f t="shared" si="3"/>
        <v>2022</v>
      </c>
      <c r="V65" s="22" t="s">
        <v>201</v>
      </c>
      <c r="W65" s="32">
        <v>4.1772414391437009E-2</v>
      </c>
      <c r="X65" s="18">
        <v>35165325509</v>
      </c>
    </row>
    <row r="66" spans="1:24" x14ac:dyDescent="0.2">
      <c r="A66" s="25">
        <f>'Circle Transparency Inputs'!A66</f>
        <v>44804</v>
      </c>
      <c r="B66" s="23">
        <f>'Circle Transparency Inputs'!D66/'Circle Transparency Inputs'!C66</f>
        <v>0.82970306569334928</v>
      </c>
      <c r="C66" s="23">
        <f>'Circle Transparency Inputs'!E66/'Circle Transparency Inputs'!C66</f>
        <v>0</v>
      </c>
      <c r="D66" s="23">
        <f>'Circle Transparency Inputs'!F66/'Circle Transparency Inputs'!C66</f>
        <v>0</v>
      </c>
      <c r="E66" s="16">
        <v>2.7199999999999998E-2</v>
      </c>
      <c r="F66" s="16">
        <v>2.29E-2</v>
      </c>
      <c r="G66" s="23">
        <v>0</v>
      </c>
      <c r="H66" s="19">
        <f>('Circle Transparency Inputs'!B67+'Circle Transparency Inputs'!B66)/2</f>
        <v>53373446754.5</v>
      </c>
      <c r="I66" s="23">
        <f t="shared" si="0"/>
        <v>2.25679233868591E-2</v>
      </c>
      <c r="J66" s="19">
        <f t="shared" si="5"/>
        <v>1204527857.2481594</v>
      </c>
      <c r="K66" s="19">
        <f t="shared" si="6"/>
        <v>14454334286.977913</v>
      </c>
      <c r="L66">
        <v>12</v>
      </c>
      <c r="M66" s="23">
        <f t="shared" si="1"/>
        <v>2.25679233868591E-2</v>
      </c>
      <c r="N66" s="23" t="str">
        <f t="shared" si="2"/>
        <v>2022-08</v>
      </c>
      <c r="O66" s="72">
        <f t="shared" si="3"/>
        <v>2022</v>
      </c>
      <c r="V66" s="22" t="s">
        <v>202</v>
      </c>
      <c r="W66" s="32">
        <v>3.882696151628607E-2</v>
      </c>
      <c r="X66" s="18">
        <v>38308779801.5</v>
      </c>
    </row>
    <row r="67" spans="1:24" x14ac:dyDescent="0.2">
      <c r="A67" s="25">
        <f>'Circle Transparency Inputs'!A67</f>
        <v>44773</v>
      </c>
      <c r="B67" s="23">
        <f>'Circle Transparency Inputs'!D67/'Circle Transparency Inputs'!C67</f>
        <v>0.77580687619874955</v>
      </c>
      <c r="C67" s="23">
        <f>'Circle Transparency Inputs'!E67/'Circle Transparency Inputs'!C67</f>
        <v>0</v>
      </c>
      <c r="D67" s="23">
        <f>'Circle Transparency Inputs'!F67/'Circle Transparency Inputs'!C67</f>
        <v>0</v>
      </c>
      <c r="E67" s="16">
        <v>2.3E-2</v>
      </c>
      <c r="F67" s="16">
        <v>1.5299999999999999E-2</v>
      </c>
      <c r="G67" s="23">
        <v>0</v>
      </c>
      <c r="H67" s="19">
        <f>('Circle Transparency Inputs'!B68+'Circle Transparency Inputs'!B67)/2</f>
        <v>55029248995</v>
      </c>
      <c r="I67" s="23">
        <f t="shared" ref="I67:I73" si="7">(B67*E67)+(C67*F67)+(D67*G67)</f>
        <v>1.7843558152571239E-2</v>
      </c>
      <c r="J67" s="19">
        <f t="shared" si="5"/>
        <v>981917604.53460491</v>
      </c>
      <c r="K67" s="19">
        <f t="shared" si="6"/>
        <v>11783011254.415258</v>
      </c>
      <c r="L67">
        <v>12</v>
      </c>
      <c r="M67" s="23">
        <f t="shared" ref="M67:M73" si="8">(B67*E67)+(C67*(F67+0.0067))+(D67*G67)</f>
        <v>1.7843558152571239E-2</v>
      </c>
      <c r="N67" s="23" t="str">
        <f t="shared" ref="N67:N73" si="9">TEXT(A67, "YYYY-MM")</f>
        <v>2022-07</v>
      </c>
      <c r="O67" s="72">
        <f t="shared" ref="O67:O73" si="10">VALUE(LEFT(N67,4))</f>
        <v>2022</v>
      </c>
      <c r="V67" s="22" t="s">
        <v>203</v>
      </c>
      <c r="W67" s="32">
        <v>3.7466448450114945E-2</v>
      </c>
      <c r="X67" s="18">
        <v>41196909024.75</v>
      </c>
    </row>
    <row r="68" spans="1:24" x14ac:dyDescent="0.2">
      <c r="A68" s="25">
        <f>'Circle Transparency Inputs'!A68</f>
        <v>44742</v>
      </c>
      <c r="B68" s="23">
        <f>'Circle Transparency Inputs'!D68/'Circle Transparency Inputs'!C68</f>
        <v>0</v>
      </c>
      <c r="C68" s="23">
        <f>'Circle Transparency Inputs'!E68/'Circle Transparency Inputs'!C68</f>
        <v>0</v>
      </c>
      <c r="D68" s="23">
        <f>'Circle Transparency Inputs'!F68/'Circle Transparency Inputs'!C68</f>
        <v>0</v>
      </c>
      <c r="E68" s="16">
        <v>1.54E-2</v>
      </c>
      <c r="F68" s="16">
        <v>1.5100000000000001E-2</v>
      </c>
      <c r="G68" s="23">
        <v>0</v>
      </c>
      <c r="H68" s="19">
        <f>('Circle Transparency Inputs'!B69+'Circle Transparency Inputs'!B68)/2</f>
        <v>54787828003</v>
      </c>
      <c r="I68" s="23">
        <f t="shared" si="7"/>
        <v>0</v>
      </c>
      <c r="J68" s="19">
        <f t="shared" si="5"/>
        <v>0</v>
      </c>
      <c r="K68" s="19">
        <f t="shared" si="6"/>
        <v>0</v>
      </c>
      <c r="L68">
        <v>12</v>
      </c>
      <c r="M68" s="23">
        <f t="shared" si="8"/>
        <v>0</v>
      </c>
      <c r="N68" s="23" t="str">
        <f t="shared" si="9"/>
        <v>2022-06</v>
      </c>
      <c r="O68" s="72">
        <f t="shared" si="10"/>
        <v>2022</v>
      </c>
      <c r="V68" s="22" t="s">
        <v>204</v>
      </c>
      <c r="W68" s="32">
        <v>3.7546224396827539E-2</v>
      </c>
      <c r="X68" s="18">
        <v>47143713461.5</v>
      </c>
    </row>
    <row r="69" spans="1:24" x14ac:dyDescent="0.2">
      <c r="A69" s="25">
        <f>'Circle Transparency Inputs'!A69</f>
        <v>44712</v>
      </c>
      <c r="B69" s="23">
        <f>'Circle Transparency Inputs'!D69/'Circle Transparency Inputs'!C69</f>
        <v>0</v>
      </c>
      <c r="C69" s="23">
        <f>'Circle Transparency Inputs'!E69/'Circle Transparency Inputs'!C69</f>
        <v>0</v>
      </c>
      <c r="D69" s="23">
        <f>'Circle Transparency Inputs'!F69/'Circle Transparency Inputs'!C69</f>
        <v>0</v>
      </c>
      <c r="E69" s="16">
        <v>9.9000000000000008E-3</v>
      </c>
      <c r="F69" s="16">
        <v>7.7999999999999996E-3</v>
      </c>
      <c r="G69" s="23">
        <v>0</v>
      </c>
      <c r="H69" s="19">
        <f>('Circle Transparency Inputs'!B70+'Circle Transparency Inputs'!B69)/2</f>
        <v>51633050579.5</v>
      </c>
      <c r="I69" s="23">
        <f t="shared" si="7"/>
        <v>0</v>
      </c>
      <c r="J69" s="19">
        <f t="shared" si="5"/>
        <v>0</v>
      </c>
      <c r="K69" s="19">
        <f t="shared" si="6"/>
        <v>0</v>
      </c>
      <c r="L69">
        <v>12</v>
      </c>
      <c r="M69" s="23">
        <f t="shared" si="8"/>
        <v>0</v>
      </c>
      <c r="N69" s="23" t="str">
        <f t="shared" si="9"/>
        <v>2022-05</v>
      </c>
      <c r="O69" s="72">
        <f t="shared" si="10"/>
        <v>2022</v>
      </c>
      <c r="V69" s="22" t="s">
        <v>205</v>
      </c>
      <c r="W69" s="32">
        <v>3.8721463331912308E-2</v>
      </c>
      <c r="X69" s="18">
        <v>54849311754</v>
      </c>
    </row>
    <row r="70" spans="1:24" x14ac:dyDescent="0.2">
      <c r="A70" s="25">
        <f>'Circle Transparency Inputs'!A70</f>
        <v>44681</v>
      </c>
      <c r="B70" s="23">
        <f>'Circle Transparency Inputs'!D70/'Circle Transparency Inputs'!C70</f>
        <v>0</v>
      </c>
      <c r="C70" s="23">
        <f>'Circle Transparency Inputs'!E70/'Circle Transparency Inputs'!C70</f>
        <v>0</v>
      </c>
      <c r="D70" s="23">
        <f>'Circle Transparency Inputs'!F70/'Circle Transparency Inputs'!C70</f>
        <v>0</v>
      </c>
      <c r="E70" s="16">
        <v>7.6E-3</v>
      </c>
      <c r="F70" s="16">
        <v>2.8E-3</v>
      </c>
      <c r="G70" s="23">
        <v>0</v>
      </c>
      <c r="H70" s="19">
        <f>('Circle Transparency Inputs'!B71+'Circle Transparency Inputs'!B70)/2</f>
        <v>50324330821</v>
      </c>
      <c r="I70" s="23">
        <f t="shared" si="7"/>
        <v>0</v>
      </c>
      <c r="J70" s="19">
        <f t="shared" ref="J70:J73" si="11">(H70)*(I70)</f>
        <v>0</v>
      </c>
      <c r="K70" s="19">
        <f t="shared" ref="K70:K73" si="12">J70*L70</f>
        <v>0</v>
      </c>
      <c r="L70">
        <v>12</v>
      </c>
      <c r="M70" s="23">
        <f t="shared" si="8"/>
        <v>0</v>
      </c>
      <c r="N70" s="23" t="str">
        <f t="shared" si="9"/>
        <v>2022-04</v>
      </c>
      <c r="O70" s="72">
        <f t="shared" si="10"/>
        <v>2022</v>
      </c>
      <c r="V70" s="22" t="s">
        <v>206</v>
      </c>
      <c r="W70" s="32">
        <v>3.971153084120245E-2</v>
      </c>
      <c r="X70" s="18">
        <v>58606368867.75</v>
      </c>
    </row>
    <row r="71" spans="1:24" x14ac:dyDescent="0.2">
      <c r="A71" s="25">
        <f>'Circle Transparency Inputs'!A71</f>
        <v>44651</v>
      </c>
      <c r="B71" s="23">
        <f>'Circle Transparency Inputs'!D71/'Circle Transparency Inputs'!C71</f>
        <v>0</v>
      </c>
      <c r="C71" s="23">
        <f>'Circle Transparency Inputs'!E71/'Circle Transparency Inputs'!C71</f>
        <v>0</v>
      </c>
      <c r="D71" s="23">
        <f>'Circle Transparency Inputs'!F71/'Circle Transparency Inputs'!C71</f>
        <v>0</v>
      </c>
      <c r="E71" s="16">
        <v>4.4999999999999997E-3</v>
      </c>
      <c r="F71" s="16">
        <v>2.7000000000000001E-3</v>
      </c>
      <c r="G71" s="23">
        <v>0</v>
      </c>
      <c r="H71" s="19">
        <f>('Circle Transparency Inputs'!B72+'Circle Transparency Inputs'!B71)/2</f>
        <v>52442703355.5</v>
      </c>
      <c r="I71" s="23">
        <f t="shared" si="7"/>
        <v>0</v>
      </c>
      <c r="J71" s="19">
        <f t="shared" si="11"/>
        <v>0</v>
      </c>
      <c r="K71" s="19">
        <f t="shared" si="12"/>
        <v>0</v>
      </c>
      <c r="L71">
        <v>12</v>
      </c>
      <c r="M71" s="23">
        <f t="shared" si="8"/>
        <v>0</v>
      </c>
      <c r="N71" s="23" t="str">
        <f t="shared" si="9"/>
        <v>2022-03</v>
      </c>
      <c r="O71" s="72">
        <f t="shared" si="10"/>
        <v>2022</v>
      </c>
      <c r="V71" s="22" t="s">
        <v>207</v>
      </c>
      <c r="W71" s="32">
        <v>3.9732279366180068E-2</v>
      </c>
      <c r="X71" s="18">
        <v>60732772802</v>
      </c>
    </row>
    <row r="72" spans="1:24" x14ac:dyDescent="0.2">
      <c r="A72" s="25">
        <f>'Circle Transparency Inputs'!A72</f>
        <v>44620</v>
      </c>
      <c r="B72" s="23">
        <f>'Circle Transparency Inputs'!D72/'Circle Transparency Inputs'!C72</f>
        <v>0</v>
      </c>
      <c r="C72" s="23">
        <f>'Circle Transparency Inputs'!E72/'Circle Transparency Inputs'!C72</f>
        <v>0</v>
      </c>
      <c r="D72" s="23">
        <f>'Circle Transparency Inputs'!F72/'Circle Transparency Inputs'!C72</f>
        <v>0</v>
      </c>
      <c r="E72" s="16">
        <v>3.0999999999999999E-3</v>
      </c>
      <c r="F72" s="16">
        <v>5.0000000000000001E-4</v>
      </c>
      <c r="G72" s="23">
        <v>0</v>
      </c>
      <c r="H72" s="19">
        <f>('Circle Transparency Inputs'!B73+'Circle Transparency Inputs'!B72)/2</f>
        <v>51764164792.5</v>
      </c>
      <c r="I72" s="23">
        <f t="shared" si="7"/>
        <v>0</v>
      </c>
      <c r="J72" s="19">
        <f t="shared" si="11"/>
        <v>0</v>
      </c>
      <c r="K72" s="19">
        <f t="shared" si="12"/>
        <v>0</v>
      </c>
      <c r="L72">
        <v>12</v>
      </c>
      <c r="M72" s="23">
        <f t="shared" si="8"/>
        <v>0</v>
      </c>
      <c r="N72" s="23" t="str">
        <f t="shared" si="9"/>
        <v>2022-02</v>
      </c>
      <c r="O72" s="72">
        <f t="shared" si="10"/>
        <v>2022</v>
      </c>
      <c r="V72" s="22" t="s">
        <v>208</v>
      </c>
      <c r="W72" s="32">
        <v>3.8713067796979118E-2</v>
      </c>
      <c r="X72" s="18">
        <v>61224459823</v>
      </c>
    </row>
    <row r="73" spans="1:24" x14ac:dyDescent="0.2">
      <c r="A73" s="25">
        <f>'Circle Transparency Inputs'!A73</f>
        <v>44592</v>
      </c>
      <c r="B73" s="23">
        <f>'Circle Transparency Inputs'!D73/'Circle Transparency Inputs'!C73</f>
        <v>0</v>
      </c>
      <c r="C73" s="23">
        <f>'Circle Transparency Inputs'!E73/'Circle Transparency Inputs'!C73</f>
        <v>0</v>
      </c>
      <c r="D73" s="23">
        <f>'Circle Transparency Inputs'!F73/'Circle Transparency Inputs'!C73</f>
        <v>0</v>
      </c>
      <c r="E73" s="16">
        <v>1.5E-3</v>
      </c>
      <c r="F73" s="16">
        <v>4.0000000000000002E-4</v>
      </c>
      <c r="G73" s="23">
        <v>0</v>
      </c>
      <c r="H73" s="19">
        <f>('Circle Transparency Inputs'!B74+'Circle Transparency Inputs'!B73)/2</f>
        <v>46223819714</v>
      </c>
      <c r="I73" s="23">
        <f t="shared" si="7"/>
        <v>0</v>
      </c>
      <c r="J73" s="19">
        <f t="shared" si="11"/>
        <v>0</v>
      </c>
      <c r="K73" s="19">
        <f t="shared" si="12"/>
        <v>0</v>
      </c>
      <c r="L73">
        <v>12</v>
      </c>
      <c r="M73" s="23">
        <f t="shared" si="8"/>
        <v>0</v>
      </c>
      <c r="N73" s="23" t="str">
        <f t="shared" si="9"/>
        <v>2022-01</v>
      </c>
      <c r="O73" s="72">
        <f t="shared" si="10"/>
        <v>2022</v>
      </c>
      <c r="V73" s="22" t="s">
        <v>209</v>
      </c>
      <c r="W73" s="32">
        <v>3.7977681249096173E-2</v>
      </c>
      <c r="X73" s="18">
        <v>61021639619.75</v>
      </c>
    </row>
    <row r="74" spans="1:24" x14ac:dyDescent="0.2">
      <c r="A74" s="25">
        <v>44561</v>
      </c>
      <c r="B74" s="16">
        <v>0</v>
      </c>
      <c r="C74" s="16">
        <v>0</v>
      </c>
      <c r="D74" s="16">
        <v>0</v>
      </c>
      <c r="G74" s="16">
        <v>0</v>
      </c>
      <c r="H74" s="18">
        <f>('Circle Transparency Inputs'!B75+'Circle Transparency Inputs'!B74)/2</f>
        <v>40580150934</v>
      </c>
      <c r="V74" s="22" t="s">
        <v>173</v>
      </c>
      <c r="W74" s="32">
        <v>4.1634096104675701E-2</v>
      </c>
      <c r="X74" s="18">
        <v>38091988576.015152</v>
      </c>
    </row>
  </sheetData>
  <pageMargins left="0.75" right="0.75" top="1" bottom="1" header="0.5" footer="0.5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"/>
  <sheetViews>
    <sheetView workbookViewId="0">
      <pane ySplit="1" topLeftCell="A2" activePane="bottomLeft" state="frozen"/>
      <selection pane="bottomLeft" activeCell="A9" sqref="A9"/>
    </sheetView>
  </sheetViews>
  <sheetFormatPr baseColWidth="10" defaultColWidth="8.83203125" defaultRowHeight="15" x14ac:dyDescent="0.2"/>
  <cols>
    <col min="1" max="1" width="28" customWidth="1"/>
    <col min="2" max="2" width="19" bestFit="1" customWidth="1"/>
    <col min="3" max="3" width="33.33203125" bestFit="1" customWidth="1"/>
    <col min="4" max="4" width="32.33203125" bestFit="1" customWidth="1"/>
    <col min="5" max="5" width="31" bestFit="1" customWidth="1"/>
    <col min="6" max="6" width="34.33203125" bestFit="1" customWidth="1"/>
    <col min="7" max="7" width="26.5" bestFit="1" customWidth="1"/>
    <col min="8" max="8" width="22.6640625" bestFit="1" customWidth="1"/>
    <col min="9" max="9" width="22.1640625" bestFit="1" customWidth="1"/>
    <col min="10" max="10" width="35.5" bestFit="1" customWidth="1"/>
  </cols>
  <sheetData>
    <row r="1" spans="1:10" x14ac:dyDescent="0.2">
      <c r="A1" s="1" t="s">
        <v>0</v>
      </c>
      <c r="B1" s="1" t="s">
        <v>12</v>
      </c>
      <c r="C1" s="1" t="s">
        <v>29</v>
      </c>
      <c r="D1" s="1" t="s">
        <v>13</v>
      </c>
      <c r="E1" s="1" t="s">
        <v>14</v>
      </c>
      <c r="F1" s="1" t="s">
        <v>15</v>
      </c>
      <c r="G1" s="1" t="s">
        <v>10</v>
      </c>
      <c r="H1" s="1" t="s">
        <v>16</v>
      </c>
      <c r="I1" s="1" t="s">
        <v>17</v>
      </c>
      <c r="J1" s="1" t="s">
        <v>18</v>
      </c>
    </row>
    <row r="2" spans="1:10" x14ac:dyDescent="0.2">
      <c r="A2" t="str">
        <f>Data!A2</f>
        <v>2025-06-30</v>
      </c>
      <c r="B2">
        <v>61332530506</v>
      </c>
      <c r="C2">
        <v>61397784739</v>
      </c>
      <c r="D2">
        <f>Data!B2*Data!E2 + Data!C2*Data!F2 + Data!D2*Data!G2</f>
        <v>3.9082558888617037E-2</v>
      </c>
      <c r="E2">
        <f>(Data!J2/Data!H2)*Data!L2</f>
        <v>0.46899070666340448</v>
      </c>
      <c r="F2">
        <f>B2*D2</f>
        <v>2397032235.2886457</v>
      </c>
      <c r="G2" t="e">
        <f>Data!#REF!</f>
        <v>#REF!</v>
      </c>
      <c r="H2" t="e">
        <f>F2*G2</f>
        <v>#REF!</v>
      </c>
      <c r="I2" t="e">
        <f>F2-H2</f>
        <v>#REF!</v>
      </c>
      <c r="J2">
        <f>Data!J2*Data!L2</f>
        <v>28671248588.402126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7460-38C4-6148-B63E-405E8667B939}">
  <dimension ref="A1:R43"/>
  <sheetViews>
    <sheetView topLeftCell="J1" zoomScale="104" workbookViewId="0">
      <selection activeCell="J2" sqref="J2"/>
    </sheetView>
  </sheetViews>
  <sheetFormatPr baseColWidth="10" defaultRowHeight="15" x14ac:dyDescent="0.2"/>
  <cols>
    <col min="2" max="2" width="28.83203125" bestFit="1" customWidth="1"/>
    <col min="3" max="3" width="21.1640625" bestFit="1" customWidth="1"/>
    <col min="4" max="5" width="21.1640625" customWidth="1"/>
    <col min="6" max="6" width="22.33203125" bestFit="1" customWidth="1"/>
    <col min="7" max="7" width="11.6640625" customWidth="1"/>
    <col min="8" max="8" width="24.1640625" bestFit="1" customWidth="1"/>
    <col min="9" max="9" width="21.1640625" bestFit="1" customWidth="1"/>
    <col min="10" max="10" width="30.1640625" bestFit="1" customWidth="1"/>
    <col min="11" max="11" width="21.6640625" customWidth="1"/>
    <col min="14" max="14" width="25.33203125" bestFit="1" customWidth="1"/>
    <col min="15" max="15" width="32" bestFit="1" customWidth="1"/>
    <col min="17" max="17" width="29" bestFit="1" customWidth="1"/>
    <col min="18" max="18" width="11.1640625" customWidth="1"/>
  </cols>
  <sheetData>
    <row r="1" spans="1:18" ht="45" customHeight="1" x14ac:dyDescent="0.2">
      <c r="A1" t="s">
        <v>0</v>
      </c>
      <c r="B1" t="s">
        <v>76</v>
      </c>
      <c r="C1" t="s">
        <v>50</v>
      </c>
      <c r="E1" t="s">
        <v>170</v>
      </c>
      <c r="F1" t="s">
        <v>98</v>
      </c>
      <c r="G1" t="s">
        <v>97</v>
      </c>
      <c r="H1" t="s">
        <v>96</v>
      </c>
      <c r="J1" t="s">
        <v>110</v>
      </c>
      <c r="K1" s="35" t="s">
        <v>111</v>
      </c>
      <c r="N1" s="31" t="s">
        <v>95</v>
      </c>
      <c r="O1" s="31" t="s">
        <v>100</v>
      </c>
      <c r="Q1" s="33" t="s">
        <v>104</v>
      </c>
    </row>
    <row r="2" spans="1:18" x14ac:dyDescent="0.2">
      <c r="A2" s="26" t="s">
        <v>52</v>
      </c>
      <c r="B2">
        <f>('Circle Transparency Inputs'!B73/'Circle Transparency Inputs'!B74)-1</f>
        <v>0.17953812907912159</v>
      </c>
      <c r="C2">
        <f>B2+1</f>
        <v>1.1795381290791216</v>
      </c>
      <c r="D2">
        <v>2022</v>
      </c>
      <c r="E2" s="70">
        <f>AVERAGE('Circle Transparency Inputs'!B62:B73)</f>
        <v>49921817349.916664</v>
      </c>
      <c r="G2" s="16" cm="1">
        <f t="array" ref="G2">INDEX(Data!H:H, 73 - (ROW()-ROW($A$2))) / INDEX('Circle Transparency Inputs'!B:B, 73 - (ROW()-ROW($A$2)))</f>
        <v>0.92389473275472278</v>
      </c>
      <c r="H2" s="16">
        <f>G2/(Data!H74/'Circle Transparency Inputs'!B74)</f>
        <v>0.96569545719218575</v>
      </c>
      <c r="I2">
        <v>2022</v>
      </c>
      <c r="J2" s="16">
        <f>AVERAGE(G2:G13)</f>
        <v>0.99926934371067844</v>
      </c>
      <c r="K2" s="16">
        <f>(J2+J3+J4)/3</f>
        <v>1.0050437170333788</v>
      </c>
      <c r="M2">
        <v>2022</v>
      </c>
      <c r="N2">
        <f>PRODUCT(C2:C13)</f>
        <v>1.0503907597527831</v>
      </c>
      <c r="O2" s="16">
        <f>N2-1</f>
        <v>5.0390759752783065E-2</v>
      </c>
      <c r="Q2" t="s">
        <v>101</v>
      </c>
      <c r="R2" s="32">
        <f>(N2*N3*N4)^(1/3) - 1</f>
        <v>1.1195654249261722E-2</v>
      </c>
    </row>
    <row r="3" spans="1:18" x14ac:dyDescent="0.2">
      <c r="A3" s="27" t="s">
        <v>51</v>
      </c>
      <c r="B3">
        <f>('Circle Transparency Inputs'!B72/'Circle Transparency Inputs'!B73) - 1</f>
        <v>6.9263833804430019E-2</v>
      </c>
      <c r="C3">
        <f t="shared" ref="C3:C43" si="0">B3+1</f>
        <v>1.06926383380443</v>
      </c>
      <c r="D3">
        <v>2023</v>
      </c>
      <c r="E3" s="70" cm="1">
        <f t="array" ref="E3">AVERAGE(_xlfn._xlws.FILTER('Circle Transparency Inputs'!B38:B61, MOD(ROW('Circle Transparency Inputs'!B38:B61)-ROW('Circle Transparency Inputs'!B38),2)=0))</f>
        <v>29606743677.916668</v>
      </c>
      <c r="G3" s="16" cm="1">
        <f t="array" ref="G3">INDEX(Data!H:H, 73 - (ROW()-ROW($A$2))) / INDEX('Circle Transparency Inputs'!B:B, 73 - (ROW()-ROW($A$2)))</f>
        <v>0.96761143900379099</v>
      </c>
      <c r="H3" s="16">
        <f>G3/G2</f>
        <v>1.0473178433637356</v>
      </c>
      <c r="I3">
        <v>2023</v>
      </c>
      <c r="J3" s="16">
        <f>AVERAGE(G14:G25)</f>
        <v>1.0208429130178538</v>
      </c>
      <c r="M3">
        <v>2023</v>
      </c>
      <c r="N3">
        <f>PRODUCT(C14:C25)</f>
        <v>0.55307364949064508</v>
      </c>
      <c r="O3" s="16">
        <f>N3-1</f>
        <v>-0.44692635050935492</v>
      </c>
      <c r="Q3" t="s">
        <v>102</v>
      </c>
      <c r="R3" s="16">
        <f>MEDIAN(O2:O4)</f>
        <v>5.0390759752783065E-2</v>
      </c>
    </row>
    <row r="4" spans="1:18" x14ac:dyDescent="0.2">
      <c r="A4" t="s">
        <v>53</v>
      </c>
      <c r="B4">
        <f>('Circle Transparency Inputs'!B71/'Circle Transparency Inputs'!B72) - 1</f>
        <v>-3.9409701190947888E-2</v>
      </c>
      <c r="C4">
        <f t="shared" si="0"/>
        <v>0.96059029880905211</v>
      </c>
      <c r="D4">
        <v>2024</v>
      </c>
      <c r="E4" s="70" cm="1">
        <f t="array" ref="E4">AVERAGE(_xlfn._xlws.FILTER('Circle Transparency Inputs'!B14:B37, MOD(ROW('Circle Transparency Inputs'!B14:B37)-ROW('Circle Transparency Inputs'!B14),2)=0))</f>
        <v>33908430787.666668</v>
      </c>
      <c r="G4" s="16" cm="1">
        <f t="array" ref="G4">INDEX(Data!H:H, 73 - (ROW()-ROW($A$2))) / INDEX('Circle Transparency Inputs'!B:B, 73 - (ROW()-ROW($A$2)))</f>
        <v>1.0205132725365895</v>
      </c>
      <c r="H4" s="16">
        <f>G4/G3</f>
        <v>1.0546726003851958</v>
      </c>
      <c r="I4">
        <v>2024</v>
      </c>
      <c r="J4" s="16">
        <f>AVERAGE(G26:G37)</f>
        <v>0.99501889437160373</v>
      </c>
      <c r="M4">
        <v>2024</v>
      </c>
      <c r="N4">
        <f>PRODUCT(C26:C37)</f>
        <v>1.7798021347572854</v>
      </c>
      <c r="O4" s="16">
        <f>N4-1</f>
        <v>0.77980213475728544</v>
      </c>
      <c r="Q4" t="s">
        <v>103</v>
      </c>
      <c r="R4" s="16">
        <f>O2</f>
        <v>5.0390759752783065E-2</v>
      </c>
    </row>
    <row r="5" spans="1:18" x14ac:dyDescent="0.2">
      <c r="A5" t="s">
        <v>54</v>
      </c>
      <c r="B5">
        <f>('Circle Transparency Inputs'!B70/'Circle Transparency Inputs'!B71) - 1</f>
        <v>-4.1418758060016714E-2</v>
      </c>
      <c r="C5">
        <f t="shared" si="0"/>
        <v>0.95858124193998329</v>
      </c>
      <c r="D5">
        <v>2025</v>
      </c>
      <c r="E5" s="70" cm="1">
        <f t="array" ref="E5">AVERAGE(_xlfn._xlws.FILTER('Circle Transparency Inputs'!B2:B13, MOD(ROW('Circle Transparency Inputs'!B2:B13)-ROW('Circle Transparency Inputs'!B2),2)=0))</f>
        <v>58851276796.833336</v>
      </c>
      <c r="G5" s="16" cm="1">
        <f t="array" ref="G5">INDEX(Data!H:H, 73 - (ROW()-ROW($A$2))) / INDEX('Circle Transparency Inputs'!B:B, 73 - (ROW()-ROW($A$2)))</f>
        <v>1.02160419808351</v>
      </c>
      <c r="H5" s="16">
        <f t="shared" ref="H5:H43" si="1">G5/G4</f>
        <v>1.0010689969217244</v>
      </c>
      <c r="I5">
        <v>2025</v>
      </c>
      <c r="J5" s="16">
        <f>AVERAGE(G38:G43)</f>
        <v>0.98424447753386823</v>
      </c>
      <c r="M5" s="29">
        <v>2025</v>
      </c>
      <c r="N5" s="29">
        <f>PRODUCT(C38:C43)</f>
        <v>1.3984725452236544</v>
      </c>
      <c r="O5" s="30">
        <f>N5-1</f>
        <v>0.39847254522365438</v>
      </c>
      <c r="Q5" t="s">
        <v>105</v>
      </c>
      <c r="R5" s="32">
        <f>(N2*N4)^(1/2) - 1</f>
        <v>0.36729211090290814</v>
      </c>
    </row>
    <row r="6" spans="1:18" ht="32" x14ac:dyDescent="0.2">
      <c r="A6" t="s">
        <v>57</v>
      </c>
      <c r="B6">
        <f>('Circle Transparency Inputs'!B69/'Circle Transparency Inputs'!B70) - 1</f>
        <v>9.6343473279282943E-2</v>
      </c>
      <c r="C6">
        <f t="shared" si="0"/>
        <v>1.0963434732792829</v>
      </c>
      <c r="G6" s="16" cm="1">
        <f t="array" ref="G6">INDEX(Data!H:H, 73 - (ROW()-ROW($A$2))) / INDEX('Circle Transparency Inputs'!B:B, 73 - (ROW()-ROW($A$2)))</f>
        <v>0.95606145536165366</v>
      </c>
      <c r="H6" s="16">
        <f t="shared" si="1"/>
        <v>0.93584331109365837</v>
      </c>
      <c r="N6" s="28" t="s">
        <v>94</v>
      </c>
      <c r="O6" s="16"/>
      <c r="Q6" t="s">
        <v>106</v>
      </c>
      <c r="R6" s="32">
        <f>(N2*N3*N4*N7)^(1/4) - 1</f>
        <v>0.19248621745906203</v>
      </c>
    </row>
    <row r="7" spans="1:18" x14ac:dyDescent="0.2">
      <c r="A7" t="s">
        <v>55</v>
      </c>
      <c r="B7">
        <f>('Circle Transparency Inputs'!B68/'Circle Transparency Inputs'!B69) - 1</f>
        <v>2.8953547728164386E-2</v>
      </c>
      <c r="C7">
        <f t="shared" si="0"/>
        <v>1.0289535477281644</v>
      </c>
      <c r="G7" s="16" cm="1">
        <f t="array" ref="G7">INDEX(Data!H:H, 73 - (ROW()-ROW($A$2))) / INDEX('Circle Transparency Inputs'!B:B, 73 - (ROW()-ROW($A$2)))</f>
        <v>0.98593058559733271</v>
      </c>
      <c r="H7" s="16">
        <f t="shared" si="1"/>
        <v>1.0312418517326172</v>
      </c>
      <c r="M7">
        <v>2025</v>
      </c>
      <c r="N7">
        <f>N5^(12/6)</f>
        <v>1.9557254597443261</v>
      </c>
      <c r="O7" s="16">
        <f>N7-1</f>
        <v>0.9557254597443261</v>
      </c>
    </row>
    <row r="8" spans="1:18" x14ac:dyDescent="0.2">
      <c r="A8" t="s">
        <v>56</v>
      </c>
      <c r="B8">
        <f>('Circle Transparency Inputs'!B67/'Circle Transparency Inputs'!B68) - 1</f>
        <v>-1.9449879135527759E-2</v>
      </c>
      <c r="C8">
        <f t="shared" si="0"/>
        <v>0.98055012086447224</v>
      </c>
      <c r="F8" s="16">
        <f>(Data!H67/'Circle Transparency Inputs'!B67)</f>
        <v>1.0099178403641318</v>
      </c>
      <c r="G8" s="16" cm="1">
        <f t="array" ref="G8">INDEX(Data!H:H, 73 - (ROW()-ROW($A$2))) / INDEX('Circle Transparency Inputs'!B:B, 73 - (ROW()-ROW($A$2)))</f>
        <v>1.0099178403641318</v>
      </c>
      <c r="H8" s="16">
        <f t="shared" si="1"/>
        <v>1.0243295573919804</v>
      </c>
    </row>
    <row r="9" spans="1:18" x14ac:dyDescent="0.2">
      <c r="A9" t="s">
        <v>58</v>
      </c>
      <c r="B9">
        <f>('Circle Transparency Inputs'!B66/'Circle Transparency Inputs'!B67) - 1</f>
        <v>-4.0940152245498962E-2</v>
      </c>
      <c r="C9">
        <f t="shared" si="0"/>
        <v>0.95905984775450104</v>
      </c>
      <c r="F9" s="16">
        <f>(Data!H66/'Circle Transparency Inputs'!B66)</f>
        <v>1.0213438985801326</v>
      </c>
      <c r="G9" s="16" cm="1">
        <f t="array" ref="G9">INDEX(Data!H:H, 73 - (ROW()-ROW($A$2))) / INDEX('Circle Transparency Inputs'!B:B, 73 - (ROW()-ROW($A$2)))</f>
        <v>1.0213438985801326</v>
      </c>
      <c r="H9" s="16">
        <f t="shared" si="1"/>
        <v>1.0113138492650859</v>
      </c>
    </row>
    <row r="10" spans="1:18" x14ac:dyDescent="0.2">
      <c r="A10" t="s">
        <v>59</v>
      </c>
      <c r="B10">
        <f>('Circle Transparency Inputs'!B65/'Circle Transparency Inputs'!B66) - 1</f>
        <v>-9.5607005759289376E-2</v>
      </c>
      <c r="C10">
        <f t="shared" si="0"/>
        <v>0.90439299424071062</v>
      </c>
      <c r="F10" s="16"/>
      <c r="G10" s="16" cm="1">
        <f t="array" ref="G10">INDEX(Data!H:H, 73 - (ROW()-ROW($A$2))) / INDEX('Circle Transparency Inputs'!B:B, 73 - (ROW()-ROW($A$2)))</f>
        <v>1.0528570026349866</v>
      </c>
      <c r="H10" s="16">
        <f t="shared" si="1"/>
        <v>1.030854547717633</v>
      </c>
    </row>
    <row r="11" spans="1:18" x14ac:dyDescent="0.2">
      <c r="A11" t="s">
        <v>60</v>
      </c>
      <c r="B11">
        <f>('Circle Transparency Inputs'!B64/'Circle Transparency Inputs'!B65) - 1</f>
        <v>-7.9426878317103822E-2</v>
      </c>
      <c r="C11">
        <f t="shared" si="0"/>
        <v>0.92057312168289618</v>
      </c>
      <c r="F11" s="16"/>
      <c r="G11" s="16" cm="1">
        <f t="array" ref="G11">INDEX(Data!H:H, 73 - (ROW()-ROW($A$2))) / INDEX('Circle Transparency Inputs'!B:B, 73 - (ROW()-ROW($A$2)))</f>
        <v>1.0431399073285477</v>
      </c>
      <c r="H11" s="16">
        <f t="shared" si="1"/>
        <v>0.99077073592888687</v>
      </c>
      <c r="N11" t="s">
        <v>109</v>
      </c>
      <c r="O11" t="s">
        <v>99</v>
      </c>
      <c r="Q11" s="33" t="s">
        <v>104</v>
      </c>
    </row>
    <row r="12" spans="1:18" x14ac:dyDescent="0.2">
      <c r="A12" t="s">
        <v>61</v>
      </c>
      <c r="B12">
        <f>('Circle Transparency Inputs'!B63/'Circle Transparency Inputs'!B64) - 1</f>
        <v>-6.1831817600037642E-3</v>
      </c>
      <c r="C12">
        <f t="shared" si="0"/>
        <v>0.99381681823999624</v>
      </c>
      <c r="F12" s="16"/>
      <c r="G12" s="16" cm="1">
        <f t="array" ref="G12">INDEX(Data!H:H, 73 - (ROW()-ROW($A$2))) / INDEX('Circle Transparency Inputs'!B:B, 73 - (ROW()-ROW($A$2)))</f>
        <v>1.0031108256806087</v>
      </c>
      <c r="H12" s="16">
        <f t="shared" si="1"/>
        <v>0.96162635388914197</v>
      </c>
      <c r="M12">
        <v>2022</v>
      </c>
      <c r="N12" s="34">
        <f>PRODUCT(H2:H12)</f>
        <v>1.0484956056971466</v>
      </c>
      <c r="O12" s="16">
        <f>N12-1</f>
        <v>4.8495605697146615E-2</v>
      </c>
      <c r="Q12" t="s">
        <v>101</v>
      </c>
      <c r="R12" s="32">
        <f>(N12*N13*N14)^(1/3)-1</f>
        <v>8.1483228867360591E-3</v>
      </c>
    </row>
    <row r="13" spans="1:18" x14ac:dyDescent="0.2">
      <c r="A13" t="s">
        <v>62</v>
      </c>
      <c r="B13">
        <f>('Circle Transparency Inputs'!B62/'Circle Transparency Inputs'!B63) -1</f>
        <v>3.040314399320021E-2</v>
      </c>
      <c r="C13">
        <f t="shared" si="0"/>
        <v>1.0304031439932002</v>
      </c>
      <c r="F13" s="16"/>
      <c r="G13" s="16" cm="1">
        <f t="array" ref="G13">INDEX(Data!H:H, 73 - (ROW()-ROW($A$2))) / INDEX('Circle Transparency Inputs'!B:B, 73 - (ROW()-ROW($A$2)))</f>
        <v>0.98524696660213185</v>
      </c>
      <c r="H13" s="16">
        <f t="shared" si="1"/>
        <v>0.98219153993642105</v>
      </c>
      <c r="M13">
        <v>2023</v>
      </c>
      <c r="N13" s="34">
        <f>PRODUCT(H14:H25)</f>
        <v>1.0066628827126218</v>
      </c>
      <c r="O13" s="16">
        <f t="shared" ref="O13:O15" si="2">N13-1</f>
        <v>6.6628827126218315E-3</v>
      </c>
      <c r="Q13" t="s">
        <v>102</v>
      </c>
      <c r="R13" s="32">
        <f>MEDIAN(O12:O14)</f>
        <v>6.6628827126218315E-3</v>
      </c>
    </row>
    <row r="14" spans="1:18" x14ac:dyDescent="0.2">
      <c r="A14" t="s">
        <v>63</v>
      </c>
      <c r="B14">
        <f>('Circle Transparency Inputs'!B60/'Circle Transparency Inputs'!B62) - 1</f>
        <v>-5.084869078133869E-2</v>
      </c>
      <c r="C14">
        <f t="shared" si="0"/>
        <v>0.94915130921866131</v>
      </c>
      <c r="F14" s="16">
        <f>Data!H60/'Circle Transparency Inputs'!B60</f>
        <v>1.0140969322880784</v>
      </c>
      <c r="G14" s="16" cm="1">
        <f t="array" ref="G14">INDEX(Data!H:H, 60 - (ROW()-ROW($A$14))*2) / INDEX('Circle Transparency Inputs'!B:B, 60 - (ROW()-ROW($A$14))*2)</f>
        <v>1.0140969322880784</v>
      </c>
      <c r="H14" s="16">
        <f t="shared" si="1"/>
        <v>1.0292819634709891</v>
      </c>
      <c r="M14">
        <v>2024</v>
      </c>
      <c r="N14" s="34">
        <f>PRODUCT(H26:H37)</f>
        <v>0.97078403497106724</v>
      </c>
      <c r="O14" s="16">
        <f t="shared" si="2"/>
        <v>-2.9215965028932755E-2</v>
      </c>
      <c r="Q14" t="s">
        <v>107</v>
      </c>
      <c r="R14" s="32">
        <f>(N12*N13)^(1/2)-1</f>
        <v>2.7366346023951715E-2</v>
      </c>
    </row>
    <row r="15" spans="1:18" x14ac:dyDescent="0.2">
      <c r="A15" t="s">
        <v>64</v>
      </c>
      <c r="B15">
        <f>('Circle Transparency Inputs'!B58/'Circle Transparency Inputs'!B60) -1</f>
        <v>2.7624160799433195E-3</v>
      </c>
      <c r="C15">
        <f t="shared" si="0"/>
        <v>1.0027624160799433</v>
      </c>
      <c r="F15" s="16"/>
      <c r="G15" s="16" cm="1">
        <f t="array" ref="G15">INDEX(Data!H:H, 60 - (ROW()-ROW($A$14))*2) / INDEX('Circle Transparency Inputs'!B:B, 60 - (ROW()-ROW($A$14))*2)</f>
        <v>0.99060958687169054</v>
      </c>
      <c r="H15" s="16">
        <f t="shared" si="1"/>
        <v>0.97683915149669764</v>
      </c>
      <c r="M15">
        <v>2025</v>
      </c>
      <c r="N15" s="34">
        <f>PRODUCT(H38:H43)</f>
        <v>1.0352367912449321</v>
      </c>
      <c r="O15" s="16">
        <f t="shared" si="2"/>
        <v>3.5236791244932064E-2</v>
      </c>
      <c r="Q15" t="s">
        <v>108</v>
      </c>
      <c r="R15" s="32">
        <f>(N12*N13*N14*N17)^(1/4)-1</f>
        <v>2.3677535811585271E-2</v>
      </c>
    </row>
    <row r="16" spans="1:18" ht="32" x14ac:dyDescent="0.2">
      <c r="A16" t="s">
        <v>65</v>
      </c>
      <c r="B16">
        <f>('Circle Transparency Inputs'!B56/'Circle Transparency Inputs'!B58) -1</f>
        <v>-0.23313980612463636</v>
      </c>
      <c r="C16">
        <f t="shared" si="0"/>
        <v>0.76686019387536364</v>
      </c>
      <c r="F16" s="16"/>
      <c r="G16" s="16" cm="1">
        <f t="array" ref="G16">INDEX(Data!H:H, 60 - (ROW()-ROW($A$14))*2) / INDEX('Circle Transparency Inputs'!B:B, 60 - (ROW()-ROW($A$14))*2)</f>
        <v>1.172603486176629</v>
      </c>
      <c r="H16" s="16">
        <f t="shared" si="1"/>
        <v>1.1837190975303082</v>
      </c>
      <c r="N16" s="28" t="s">
        <v>94</v>
      </c>
    </row>
    <row r="17" spans="1:15" x14ac:dyDescent="0.2">
      <c r="A17" t="s">
        <v>66</v>
      </c>
      <c r="B17">
        <f>('Circle Transparency Inputs'!B54/'Circle Transparency Inputs'!B56) - 1</f>
        <v>-6.2256194539128784E-2</v>
      </c>
      <c r="C17">
        <f t="shared" si="0"/>
        <v>0.93774380546087122</v>
      </c>
      <c r="F17" s="16"/>
      <c r="G17" s="16" cm="1">
        <f t="array" ref="G17">INDEX(Data!H:H, 60 - (ROW()-ROW($A$14))*2) / INDEX('Circle Transparency Inputs'!B:B, 60 - (ROW()-ROW($A$14))*2)</f>
        <v>1.021789190395276</v>
      </c>
      <c r="H17" s="16">
        <f t="shared" si="1"/>
        <v>0.87138508663905179</v>
      </c>
      <c r="M17">
        <v>2025</v>
      </c>
      <c r="N17" s="34">
        <f>N15^(12/6)</f>
        <v>1.0717152139471031</v>
      </c>
      <c r="O17" s="16">
        <f>N17-1</f>
        <v>7.1715213947103118E-2</v>
      </c>
    </row>
    <row r="18" spans="1:15" x14ac:dyDescent="0.2">
      <c r="A18" t="s">
        <v>67</v>
      </c>
      <c r="B18">
        <f>('Circle Transparency Inputs'!B52/'Circle Transparency Inputs'!B54) - 1</f>
        <v>-5.3255488674690765E-2</v>
      </c>
      <c r="C18">
        <f t="shared" si="0"/>
        <v>0.94674451132530923</v>
      </c>
      <c r="F18" s="16"/>
      <c r="G18" s="16" cm="1">
        <f t="array" ref="G18">INDEX(Data!H:H, 60 - (ROW()-ROW($A$14))*2) / INDEX('Circle Transparency Inputs'!B:B, 60 - (ROW()-ROW($A$14))*2)</f>
        <v>1.0066344744250764</v>
      </c>
      <c r="H18" s="16">
        <f t="shared" si="1"/>
        <v>0.9851684514646929</v>
      </c>
    </row>
    <row r="19" spans="1:15" x14ac:dyDescent="0.2">
      <c r="A19" t="s">
        <v>68</v>
      </c>
      <c r="B19">
        <f>('Circle Transparency Inputs'!B50/'Circle Transparency Inputs'!B52) - 1</f>
        <v>-5.1464641474467832E-2</v>
      </c>
      <c r="C19">
        <f t="shared" si="0"/>
        <v>0.94853535852553217</v>
      </c>
      <c r="F19" s="16"/>
      <c r="G19" s="16" cm="1">
        <f t="array" ref="G19">INDEX(Data!H:H, 60 - (ROW()-ROW($A$14))*2) / INDEX('Circle Transparency Inputs'!B:B, 60 - (ROW()-ROW($A$14))*2)</f>
        <v>1.0276931227231276</v>
      </c>
      <c r="H19" s="16">
        <f t="shared" si="1"/>
        <v>1.0209198560481236</v>
      </c>
    </row>
    <row r="20" spans="1:15" x14ac:dyDescent="0.2">
      <c r="A20" t="s">
        <v>69</v>
      </c>
      <c r="B20">
        <f>('Circle Transparency Inputs'!B48/'Circle Transparency Inputs'!B50) - 1</f>
        <v>-3.5677186885105794E-2</v>
      </c>
      <c r="C20">
        <f t="shared" si="0"/>
        <v>0.96432281311489421</v>
      </c>
      <c r="F20" s="16"/>
      <c r="G20" s="16" cm="1">
        <f t="array" ref="G20">INDEX(Data!H:H, 60 - (ROW()-ROW($A$14))*2) / INDEX('Circle Transparency Inputs'!B:B, 60 - (ROW()-ROW($A$14))*2)</f>
        <v>1.0041156202498676</v>
      </c>
      <c r="H20" s="16">
        <f t="shared" si="1"/>
        <v>0.97705783764438781</v>
      </c>
    </row>
    <row r="21" spans="1:15" x14ac:dyDescent="0.2">
      <c r="A21" t="s">
        <v>70</v>
      </c>
      <c r="B21">
        <f>('Circle Transparency Inputs'!B46/'Circle Transparency Inputs'!B48) - 1</f>
        <v>-9.6243677423498708E-3</v>
      </c>
      <c r="C21">
        <f t="shared" si="0"/>
        <v>0.99037563225765013</v>
      </c>
      <c r="F21" s="16"/>
      <c r="G21" s="16" cm="1">
        <f t="array" ref="G21">INDEX(Data!H:H, 60 - (ROW()-ROW($A$14))*2) / INDEX('Circle Transparency Inputs'!B:B, 60 - (ROW()-ROW($A$14))*2)</f>
        <v>0.9983244254785355</v>
      </c>
      <c r="H21" s="16">
        <f t="shared" si="1"/>
        <v>0.99423254189603094</v>
      </c>
    </row>
    <row r="22" spans="1:15" x14ac:dyDescent="0.2">
      <c r="A22" t="s">
        <v>71</v>
      </c>
      <c r="B22">
        <f>('Circle Transparency Inputs'!B44/'Circle Transparency Inputs'!B46) - 1</f>
        <v>-4.5120370362200179E-2</v>
      </c>
      <c r="C22">
        <f t="shared" si="0"/>
        <v>0.95487962963779982</v>
      </c>
      <c r="F22" s="16"/>
      <c r="G22" s="16" cm="1">
        <f t="array" ref="G22">INDEX(Data!H:H, 60 - (ROW()-ROW($A$14))*2) / INDEX('Circle Transparency Inputs'!B:B, 60 - (ROW()-ROW($A$14))*2)</f>
        <v>1.0217664968181359</v>
      </c>
      <c r="H22" s="16">
        <f t="shared" si="1"/>
        <v>1.0234814162023169</v>
      </c>
    </row>
    <row r="23" spans="1:15" x14ac:dyDescent="0.2">
      <c r="A23" t="s">
        <v>72</v>
      </c>
      <c r="B23">
        <f>('Circle Transparency Inputs'!B42/'Circle Transparency Inputs'!B44) - 1</f>
        <v>-1.2207434376660165E-2</v>
      </c>
      <c r="C23">
        <f t="shared" si="0"/>
        <v>0.98779256562333984</v>
      </c>
      <c r="F23" s="16"/>
      <c r="G23" s="16" cm="1">
        <f t="array" ref="G23">INDEX(Data!H:H, 60 - (ROW()-ROW($A$14))*2) / INDEX('Circle Transparency Inputs'!B:B, 60 - (ROW()-ROW($A$14))*2)</f>
        <v>1.0099342704719967</v>
      </c>
      <c r="H23" s="16">
        <f t="shared" si="1"/>
        <v>0.98841983331515981</v>
      </c>
    </row>
    <row r="24" spans="1:15" x14ac:dyDescent="0.2">
      <c r="A24" t="s">
        <v>73</v>
      </c>
      <c r="B24">
        <f>('Circle Transparency Inputs'!B40/'Circle Transparency Inputs'!B42) - 1</f>
        <v>-7.7400757489959338E-3</v>
      </c>
      <c r="C24">
        <f t="shared" si="0"/>
        <v>0.99225992425100407</v>
      </c>
      <c r="F24" s="16"/>
      <c r="G24" s="16" cm="1">
        <f t="array" ref="G24">INDEX(Data!H:H, 60 - (ROW()-ROW($A$14))*2) / INDEX('Circle Transparency Inputs'!B:B, 60 - (ROW()-ROW($A$14))*2)</f>
        <v>0.99073579873226159</v>
      </c>
      <c r="H24" s="16">
        <f t="shared" si="1"/>
        <v>0.98099037501642294</v>
      </c>
    </row>
    <row r="25" spans="1:15" x14ac:dyDescent="0.2">
      <c r="A25" t="s">
        <v>74</v>
      </c>
      <c r="B25">
        <f>('Circle Transparency Inputs'!B38/'Circle Transparency Inputs'!B40) - 1</f>
        <v>6.7010653810819498E-3</v>
      </c>
      <c r="C25">
        <f t="shared" si="0"/>
        <v>1.0067010653810819</v>
      </c>
      <c r="F25" s="16"/>
      <c r="G25" s="16" cm="1">
        <f t="array" ref="G25">INDEX(Data!H:H, 60 - (ROW()-ROW($A$14))*2) / INDEX('Circle Transparency Inputs'!B:B, 60 - (ROW()-ROW($A$14))*2)</f>
        <v>0.99181155158356848</v>
      </c>
      <c r="H25" s="16">
        <f t="shared" si="1"/>
        <v>1.001085812032515</v>
      </c>
    </row>
    <row r="26" spans="1:15" x14ac:dyDescent="0.2">
      <c r="A26" t="s">
        <v>75</v>
      </c>
      <c r="B26">
        <f>('Circle Transparency Inputs'!B36/'Circle Transparency Inputs'!B38) - 1</f>
        <v>8.5140843711555725E-2</v>
      </c>
      <c r="C26">
        <f t="shared" si="0"/>
        <v>1.0851408437115557</v>
      </c>
      <c r="F26" s="16"/>
      <c r="G26" s="16" cm="1">
        <f t="array" ref="G26">INDEX(Data!H:H, 60 - (ROW()-ROW($A$14))*2) / INDEX('Circle Transparency Inputs'!B:B, 60 - (ROW()-ROW($A$14))*2)</f>
        <v>0.97061545854777154</v>
      </c>
      <c r="H26" s="16">
        <f t="shared" si="1"/>
        <v>0.97862891090353366</v>
      </c>
    </row>
    <row r="27" spans="1:15" x14ac:dyDescent="0.2">
      <c r="A27" t="s">
        <v>78</v>
      </c>
      <c r="B27">
        <f>('Circle Transparency Inputs'!B34/'Circle Transparency Inputs'!B36) - 1</f>
        <v>7.2689945594751171E-2</v>
      </c>
      <c r="C27">
        <f t="shared" si="0"/>
        <v>1.0726899455947512</v>
      </c>
      <c r="F27" s="16"/>
      <c r="G27" s="16" cm="1">
        <f t="array" ref="G27">INDEX(Data!H:H, 60 - (ROW()-ROW($A$14))*2) / INDEX('Circle Transparency Inputs'!B:B, 60 - (ROW()-ROW($A$14))*2)</f>
        <v>0.98918412720832738</v>
      </c>
      <c r="H27" s="16">
        <f t="shared" si="1"/>
        <v>1.019130819004612</v>
      </c>
    </row>
    <row r="28" spans="1:15" x14ac:dyDescent="0.2">
      <c r="A28" t="s">
        <v>79</v>
      </c>
      <c r="B28">
        <f>('Circle Transparency Inputs'!B32/'Circle Transparency Inputs'!B34) - 1</f>
        <v>0.12869908450292544</v>
      </c>
      <c r="C28">
        <f t="shared" si="0"/>
        <v>1.1286990845029254</v>
      </c>
      <c r="F28" s="16"/>
      <c r="G28" s="16" cm="1">
        <f t="array" ref="G28">INDEX(Data!H:H, 60 - (ROW()-ROW($A$14))*2) / INDEX('Circle Transparency Inputs'!B:B, 60 - (ROW()-ROW($A$14))*2)</f>
        <v>0.99792465736313807</v>
      </c>
      <c r="H28" s="16">
        <f t="shared" si="1"/>
        <v>1.0088361002915385</v>
      </c>
    </row>
    <row r="29" spans="1:15" x14ac:dyDescent="0.2">
      <c r="A29" t="s">
        <v>80</v>
      </c>
      <c r="B29">
        <f>('Circle Transparency Inputs'!B30/'Circle Transparency Inputs'!B32) - 1</f>
        <v>2.0187202981594821E-2</v>
      </c>
      <c r="C29">
        <f t="shared" si="0"/>
        <v>1.0201872029815948</v>
      </c>
      <c r="F29" s="16"/>
      <c r="G29" s="16" cm="1">
        <f t="array" ref="G29">INDEX(Data!H:H, 60 - (ROW()-ROW($A$14))*2) / INDEX('Circle Transparency Inputs'!B:B, 60 - (ROW()-ROW($A$14))*2)</f>
        <v>0.99717059086527071</v>
      </c>
      <c r="H29" s="16">
        <f t="shared" si="1"/>
        <v>0.9992443653012244</v>
      </c>
    </row>
    <row r="30" spans="1:15" x14ac:dyDescent="0.2">
      <c r="A30" t="s">
        <v>81</v>
      </c>
      <c r="B30">
        <f>('Circle Transparency Inputs'!B28/'Circle Transparency Inputs'!B30) - 1</f>
        <v>-2.2370379480583957E-2</v>
      </c>
      <c r="C30">
        <f t="shared" si="0"/>
        <v>0.97762962051941604</v>
      </c>
      <c r="F30" s="16">
        <f>Data!H28/'Circle Transparency Inputs'!B28</f>
        <v>1.0135663797337744</v>
      </c>
      <c r="G30" s="16" cm="1">
        <f t="array" ref="G30">INDEX(Data!H:H, 60 - (ROW()-ROW($A$14))*2) / INDEX('Circle Transparency Inputs'!B:B, 60 - (ROW()-ROW($A$14))*2)</f>
        <v>1.0135663797337744</v>
      </c>
      <c r="H30" s="16">
        <f t="shared" si="1"/>
        <v>1.0164423108931409</v>
      </c>
    </row>
    <row r="31" spans="1:15" x14ac:dyDescent="0.2">
      <c r="A31" t="s">
        <v>82</v>
      </c>
      <c r="B31">
        <f>('Circle Transparency Inputs'!B26/'Circle Transparency Inputs'!B28) - 1</f>
        <v>-2.0617950556263143E-3</v>
      </c>
      <c r="C31">
        <f t="shared" si="0"/>
        <v>0.99793820494437369</v>
      </c>
      <c r="F31" s="16"/>
      <c r="G31" s="16" cm="1">
        <f t="array" ref="G31">INDEX(Data!H:H, 60 - (ROW()-ROW($A$14))*2) / INDEX('Circle Transparency Inputs'!B:B, 60 - (ROW()-ROW($A$14))*2)</f>
        <v>0.99665132084725405</v>
      </c>
      <c r="H31" s="16">
        <f t="shared" si="1"/>
        <v>0.98331134573449119</v>
      </c>
    </row>
    <row r="32" spans="1:15" x14ac:dyDescent="0.2">
      <c r="A32" t="s">
        <v>83</v>
      </c>
      <c r="B32">
        <f>('Circle Transparency Inputs'!B24/'Circle Transparency Inputs'!B26) - 1</f>
        <v>2.9826892876827271E-2</v>
      </c>
      <c r="C32">
        <f t="shared" si="0"/>
        <v>1.0298268928768273</v>
      </c>
      <c r="F32" s="16"/>
      <c r="G32" s="16" cm="1">
        <f t="array" ref="G32">INDEX(Data!H:H, 60 - (ROW()-ROW($A$14))*2) / INDEX('Circle Transparency Inputs'!B:B, 60 - (ROW()-ROW($A$14))*2)</f>
        <v>1.0061446150046802</v>
      </c>
      <c r="H32" s="16">
        <f t="shared" si="1"/>
        <v>1.0095251909658394</v>
      </c>
    </row>
    <row r="33" spans="1:8" x14ac:dyDescent="0.2">
      <c r="A33" t="s">
        <v>84</v>
      </c>
      <c r="B33">
        <f>('Circle Transparency Inputs'!B22/'Circle Transparency Inputs'!B24) - 1</f>
        <v>4.4016504660221001E-2</v>
      </c>
      <c r="C33">
        <f t="shared" si="0"/>
        <v>1.044016504660221</v>
      </c>
      <c r="F33" s="16"/>
      <c r="G33" s="16" cm="1">
        <f t="array" ref="G33">INDEX(Data!H:H, 60 - (ROW()-ROW($A$14))*2) / INDEX('Circle Transparency Inputs'!B:B, 60 - (ROW()-ROW($A$14))*2)</f>
        <v>0.99821893305819032</v>
      </c>
      <c r="H33" s="16">
        <f t="shared" si="1"/>
        <v>0.99212272090085873</v>
      </c>
    </row>
    <row r="34" spans="1:8" x14ac:dyDescent="0.2">
      <c r="A34" t="s">
        <v>85</v>
      </c>
      <c r="B34">
        <f>('Circle Transparency Inputs'!B20/'Circle Transparency Inputs'!B22) - 1</f>
        <v>2.3800507457757858E-2</v>
      </c>
      <c r="C34">
        <f t="shared" si="0"/>
        <v>1.0238005074577579</v>
      </c>
      <c r="F34" s="16"/>
      <c r="G34" s="16" cm="1">
        <f t="array" ref="G34">INDEX(Data!H:H, 60 - (ROW()-ROW($A$14))*2) / INDEX('Circle Transparency Inputs'!B:B, 60 - (ROW()-ROW($A$14))*2)</f>
        <v>1.0035437599701833</v>
      </c>
      <c r="H34" s="16">
        <f t="shared" si="1"/>
        <v>1.0053343277067281</v>
      </c>
    </row>
    <row r="35" spans="1:8" x14ac:dyDescent="0.2">
      <c r="A35" t="s">
        <v>86</v>
      </c>
      <c r="B35">
        <f>('Circle Transparency Inputs'!B18/'Circle Transparency Inputs'!B20) - 1</f>
        <v>-2.2435931587548641E-2</v>
      </c>
      <c r="C35">
        <f t="shared" si="0"/>
        <v>0.97756406841245136</v>
      </c>
      <c r="F35" s="16"/>
      <c r="G35" s="16" cm="1">
        <f t="array" ref="G35">INDEX(Data!H:H, 60 - (ROW()-ROW($A$14))*2) / INDEX('Circle Transparency Inputs'!B:B, 60 - (ROW()-ROW($A$14))*2)</f>
        <v>1.0084559597038545</v>
      </c>
      <c r="H35" s="16">
        <f t="shared" si="1"/>
        <v>1.0048948535476092</v>
      </c>
    </row>
    <row r="36" spans="1:8" x14ac:dyDescent="0.2">
      <c r="A36" t="s">
        <v>87</v>
      </c>
      <c r="B36">
        <f>('Circle Transparency Inputs'!B16/'Circle Transparency Inputs'!B18) - 1</f>
        <v>0.14604468219016531</v>
      </c>
      <c r="C36">
        <f t="shared" si="0"/>
        <v>1.1460446821901653</v>
      </c>
      <c r="F36" s="16"/>
      <c r="G36" s="16" cm="1">
        <f t="array" ref="G36">INDEX(Data!H:H, 60 - (ROW()-ROW($A$14))*2) / INDEX('Circle Transparency Inputs'!B:B, 60 - (ROW()-ROW($A$14))*2)</f>
        <v>0.99591611017959036</v>
      </c>
      <c r="H36" s="16">
        <f t="shared" si="1"/>
        <v>0.9875652978163304</v>
      </c>
    </row>
    <row r="37" spans="1:8" x14ac:dyDescent="0.2">
      <c r="A37" t="s">
        <v>77</v>
      </c>
      <c r="B37">
        <f>('Circle Transparency Inputs'!B14/'Circle Transparency Inputs'!B16) - 1</f>
        <v>0.10367611457211101</v>
      </c>
      <c r="C37">
        <f t="shared" si="0"/>
        <v>1.103676114572111</v>
      </c>
      <c r="F37" s="16"/>
      <c r="G37" s="16" cm="1">
        <f t="array" ref="G37">INDEX(Data!H:H, 60 - (ROW()-ROW($A$14))*2) / INDEX('Circle Transparency Inputs'!B:B, 60 - (ROW()-ROW($A$14))*2)</f>
        <v>0.96283481997721132</v>
      </c>
      <c r="H37" s="16">
        <f t="shared" si="1"/>
        <v>0.96678305545593235</v>
      </c>
    </row>
    <row r="38" spans="1:8" x14ac:dyDescent="0.2">
      <c r="A38" t="s">
        <v>88</v>
      </c>
      <c r="B38">
        <f>('Circle Transparency Inputs'!B12/'Circle Transparency Inputs'!B14) - 1</f>
        <v>0.21347065711302426</v>
      </c>
      <c r="C38">
        <f t="shared" si="0"/>
        <v>1.2134706571130243</v>
      </c>
      <c r="F38" s="16"/>
      <c r="G38" s="16" cm="1">
        <f t="array" ref="G38">INDEX(Data!H:H, 60 - (ROW()-ROW($A$14))*2) / INDEX('Circle Transparency Inputs'!B:B, 60 - (ROW()-ROW($A$14))*2)</f>
        <v>0.92982401913514501</v>
      </c>
      <c r="H38" s="16">
        <f t="shared" si="1"/>
        <v>0.96571499061194355</v>
      </c>
    </row>
    <row r="39" spans="1:8" x14ac:dyDescent="0.2">
      <c r="A39" t="s">
        <v>89</v>
      </c>
      <c r="B39">
        <f>('Circle Transparency Inputs'!B10/'Circle Transparency Inputs'!B12) - 1</f>
        <v>5.7599396712280093E-2</v>
      </c>
      <c r="C39">
        <f t="shared" si="0"/>
        <v>1.0575993967122801</v>
      </c>
      <c r="F39" s="16">
        <f>Data!H10/'Circle Transparency Inputs'!B10</f>
        <v>0.98811992207197119</v>
      </c>
      <c r="G39" s="16" cm="1">
        <f t="array" ref="G39">INDEX(Data!H:H, 60 - (ROW()-ROW($A$14))*2) / INDEX('Circle Transparency Inputs'!B:B, 60 - (ROW()-ROW($A$14))*2)</f>
        <v>0.98811992207197119</v>
      </c>
      <c r="H39" s="16">
        <f t="shared" si="1"/>
        <v>1.062695630288244</v>
      </c>
    </row>
    <row r="40" spans="1:8" x14ac:dyDescent="0.2">
      <c r="A40" t="s">
        <v>90</v>
      </c>
      <c r="B40">
        <f>('Circle Transparency Inputs'!B8/'Circle Transparency Inputs'!B10) - 1</f>
        <v>6.5585819640344489E-2</v>
      </c>
      <c r="C40">
        <f t="shared" si="0"/>
        <v>1.0655858196403445</v>
      </c>
      <c r="F40" s="16"/>
      <c r="G40" s="16" cm="1">
        <f t="array" ref="G40">INDEX(Data!H:H, 60 - (ROW()-ROW($A$14))*2) / INDEX('Circle Transparency Inputs'!B:B, 60 - (ROW()-ROW($A$14))*2)</f>
        <v>0.99255466760608069</v>
      </c>
      <c r="H40" s="16">
        <f t="shared" si="1"/>
        <v>1.0044880640851874</v>
      </c>
    </row>
    <row r="41" spans="1:8" x14ac:dyDescent="0.2">
      <c r="A41" t="s">
        <v>91</v>
      </c>
      <c r="B41">
        <f>('Circle Transparency Inputs'!B6/'Circle Transparency Inputs'!B8) - 1</f>
        <v>2.3959506896025662E-2</v>
      </c>
      <c r="C41">
        <f t="shared" si="0"/>
        <v>1.0239595068960257</v>
      </c>
      <c r="F41" s="16"/>
      <c r="G41" s="16" cm="1">
        <f t="array" ref="G41">INDEX(Data!H:H, 60 - (ROW()-ROW($A$14))*2) / INDEX('Circle Transparency Inputs'!B:B, 60 - (ROW()-ROW($A$14))*2)</f>
        <v>0.99477728502217211</v>
      </c>
      <c r="H41" s="16">
        <f t="shared" si="1"/>
        <v>1.002239289672026</v>
      </c>
    </row>
    <row r="42" spans="1:8" x14ac:dyDescent="0.2">
      <c r="A42" t="s">
        <v>92</v>
      </c>
      <c r="B42">
        <f>('Circle Transparency Inputs'!B4/'Circle Transparency Inputs'!B6) - 1</f>
        <v>-8.6207323354232646E-3</v>
      </c>
      <c r="C42">
        <f t="shared" si="0"/>
        <v>0.99137926766457674</v>
      </c>
      <c r="F42" s="16"/>
      <c r="G42" s="16" cm="1">
        <f t="array" ref="G42">INDEX(Data!H:H, 60 - (ROW()-ROW($A$14))*2) / INDEX('Circle Transparency Inputs'!B:B, 60 - (ROW()-ROW($A$14))*2)</f>
        <v>1.0034289418357409</v>
      </c>
      <c r="H42" s="16">
        <f t="shared" si="1"/>
        <v>1.0086970791792618</v>
      </c>
    </row>
    <row r="43" spans="1:8" x14ac:dyDescent="0.2">
      <c r="A43" t="s">
        <v>93</v>
      </c>
      <c r="B43">
        <f>('Circle Transparency Inputs'!B2/'Circle Transparency Inputs'!B4) - 1</f>
        <v>7.3779110172471629E-3</v>
      </c>
      <c r="C43">
        <f t="shared" si="0"/>
        <v>1.0073779110172472</v>
      </c>
      <c r="F43" s="16"/>
      <c r="G43" s="16" cm="1">
        <f t="array" ref="G43">INDEX(Data!H:H, 60 - (ROW()-ROW($A$14))*2) / INDEX('Circle Transparency Inputs'!B:B, 60 - (ROW()-ROW($A$14))*2)</f>
        <v>0.99676202953210002</v>
      </c>
      <c r="H43" s="16">
        <f t="shared" si="1"/>
        <v>0.99335587003156989</v>
      </c>
    </row>
  </sheetData>
  <pageMargins left="0.7" right="0.7" top="0.75" bottom="0.75" header="0.3" footer="0.3"/>
  <ignoredErrors>
    <ignoredError sqref="E2:E5" formulaRange="1"/>
  </ignoredErrors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20EE0-6BBD-B14B-9747-4F43E52F2632}">
  <dimension ref="A1:I102"/>
  <sheetViews>
    <sheetView tabSelected="1" workbookViewId="0">
      <pane ySplit="1" topLeftCell="A2" activePane="bottomLeft" state="frozen"/>
      <selection pane="bottomLeft" activeCell="E25" sqref="E25"/>
    </sheetView>
  </sheetViews>
  <sheetFormatPr baseColWidth="10" defaultRowHeight="15" x14ac:dyDescent="0.2"/>
  <cols>
    <col min="1" max="1" width="21.83203125" customWidth="1"/>
    <col min="2" max="2" width="42.1640625" bestFit="1" customWidth="1"/>
    <col min="3" max="3" width="31" bestFit="1" customWidth="1"/>
    <col min="4" max="4" width="38.6640625" bestFit="1" customWidth="1"/>
    <col min="5" max="5" width="25.1640625" bestFit="1" customWidth="1"/>
    <col min="6" max="6" width="33.1640625" bestFit="1" customWidth="1"/>
    <col min="7" max="7" width="18" bestFit="1" customWidth="1"/>
    <col min="8" max="8" width="21.6640625" bestFit="1" customWidth="1"/>
    <col min="9" max="9" width="49.83203125" bestFit="1" customWidth="1"/>
    <col min="10" max="10" width="48.33203125" bestFit="1" customWidth="1"/>
  </cols>
  <sheetData>
    <row r="1" spans="1:4" x14ac:dyDescent="0.2">
      <c r="A1" t="s">
        <v>0</v>
      </c>
    </row>
    <row r="3" spans="1:4" x14ac:dyDescent="0.2">
      <c r="A3" s="50" t="s">
        <v>128</v>
      </c>
      <c r="B3" s="40"/>
      <c r="C3" s="40"/>
      <c r="D3" s="52"/>
    </row>
    <row r="4" spans="1:4" x14ac:dyDescent="0.2">
      <c r="A4" s="53"/>
      <c r="B4" s="17" t="s">
        <v>112</v>
      </c>
      <c r="C4" s="17" t="s">
        <v>113</v>
      </c>
      <c r="D4" s="43" t="s">
        <v>222</v>
      </c>
    </row>
    <row r="5" spans="1:4" x14ac:dyDescent="0.2">
      <c r="A5" s="44">
        <v>2022</v>
      </c>
      <c r="B5" s="63">
        <f>(0.0009 + 0.0071 + 0.0215+0.0362) / 4</f>
        <v>1.6425000000000002E-2</v>
      </c>
      <c r="C5" s="63">
        <f>(0.0029 + 0.0104+0.0261+0.0399)/4</f>
        <v>1.9825000000000002E-2</v>
      </c>
      <c r="D5" s="73">
        <f>(0.0014+0.0061+0.0206+0.0335)/4</f>
        <v>1.54E-2</v>
      </c>
    </row>
    <row r="6" spans="1:4" x14ac:dyDescent="0.2">
      <c r="A6" s="44">
        <v>2023</v>
      </c>
      <c r="B6" s="63">
        <f>(0.045+0.0497+0.0524+0.0532)/4</f>
        <v>5.0075000000000001E-2</v>
      </c>
      <c r="C6" s="63">
        <f>(0.0459+0.0504+0.0527+0.0528)/4</f>
        <v>5.0449999999999995E-2</v>
      </c>
      <c r="D6" s="73">
        <f>(0.0424+0.0466+0.0516+0.0519)/4</f>
        <v>4.8125000000000001E-2</v>
      </c>
    </row>
    <row r="7" spans="1:4" x14ac:dyDescent="0.2">
      <c r="A7" s="44">
        <v>2024</v>
      </c>
      <c r="B7" s="63">
        <f>(0.0531+0.0532+0.0528+0.0468)/4</f>
        <v>5.1475000000000007E-2</v>
      </c>
      <c r="C7" s="63">
        <f>(0.0523+0.0525+0.05+0.044)/4</f>
        <v>4.9699999999999994E-2</v>
      </c>
      <c r="D7" s="73">
        <f>(0.0513+0.0517+0.0511+0.0449)/4</f>
        <v>4.9750000000000003E-2</v>
      </c>
    </row>
    <row r="8" spans="1:4" x14ac:dyDescent="0.2">
      <c r="A8" s="44">
        <v>2025</v>
      </c>
      <c r="B8" s="63">
        <f>(0.0433 + 0.0432) / 2</f>
        <v>4.3249999999999997E-2</v>
      </c>
      <c r="C8" s="63">
        <f>(0.0421+0.0423)/2</f>
        <v>4.2200000000000001E-2</v>
      </c>
      <c r="D8" s="73">
        <f>(0.0416+0.0414)/2</f>
        <v>4.1499999999999995E-2</v>
      </c>
    </row>
    <row r="9" spans="1:4" x14ac:dyDescent="0.2">
      <c r="A9" s="74" t="s">
        <v>223</v>
      </c>
      <c r="B9" s="76">
        <v>3.6999999999999998E-2</v>
      </c>
      <c r="C9" s="76">
        <v>3.5499999999999997E-2</v>
      </c>
      <c r="D9" s="64">
        <f>MIN(B9:C9) - 0.0025</f>
        <v>3.2999999999999995E-2</v>
      </c>
    </row>
    <row r="10" spans="1:4" x14ac:dyDescent="0.2">
      <c r="A10" s="74" t="s">
        <v>224</v>
      </c>
      <c r="B10" s="76">
        <v>3.3000000000000002E-2</v>
      </c>
      <c r="C10" s="76">
        <v>3.2000000000000001E-2</v>
      </c>
      <c r="D10" s="64">
        <f t="shared" ref="D10:D15" si="0">MIN(B10:C10) - 0.0025</f>
        <v>2.9500000000000002E-2</v>
      </c>
    </row>
    <row r="11" spans="1:4" x14ac:dyDescent="0.2">
      <c r="A11" s="74" t="s">
        <v>225</v>
      </c>
      <c r="B11" s="76">
        <v>3.1E-2</v>
      </c>
      <c r="C11" s="76">
        <v>0.03</v>
      </c>
      <c r="D11" s="64">
        <f t="shared" si="0"/>
        <v>2.75E-2</v>
      </c>
    </row>
    <row r="12" spans="1:4" x14ac:dyDescent="0.2">
      <c r="A12" s="74" t="s">
        <v>226</v>
      </c>
      <c r="B12" s="76">
        <v>2.9000000000000001E-2</v>
      </c>
      <c r="C12" s="76">
        <v>2.8000000000000001E-2</v>
      </c>
      <c r="D12" s="64">
        <f t="shared" si="0"/>
        <v>2.5500000000000002E-2</v>
      </c>
    </row>
    <row r="13" spans="1:4" x14ac:dyDescent="0.2">
      <c r="A13" s="74" t="s">
        <v>227</v>
      </c>
      <c r="B13" s="76">
        <v>2.8000000000000001E-2</v>
      </c>
      <c r="C13" s="76">
        <v>2.75E-2</v>
      </c>
      <c r="D13" s="64">
        <f t="shared" si="0"/>
        <v>2.5000000000000001E-2</v>
      </c>
    </row>
    <row r="14" spans="1:4" x14ac:dyDescent="0.2">
      <c r="A14" s="74" t="s">
        <v>228</v>
      </c>
      <c r="B14" s="76">
        <v>2.8000000000000001E-2</v>
      </c>
      <c r="C14" s="76">
        <v>2.75E-2</v>
      </c>
      <c r="D14" s="64">
        <f t="shared" si="0"/>
        <v>2.5000000000000001E-2</v>
      </c>
    </row>
    <row r="15" spans="1:4" x14ac:dyDescent="0.2">
      <c r="A15" s="75" t="s">
        <v>229</v>
      </c>
      <c r="B15" s="77">
        <v>2.9000000000000001E-2</v>
      </c>
      <c r="C15" s="77">
        <v>2.8500000000000001E-2</v>
      </c>
      <c r="D15" s="66">
        <f t="shared" si="0"/>
        <v>2.6000000000000002E-2</v>
      </c>
    </row>
    <row r="18" spans="1:9" x14ac:dyDescent="0.2">
      <c r="A18" s="50" t="s">
        <v>127</v>
      </c>
      <c r="B18" s="40"/>
      <c r="C18" s="40"/>
      <c r="D18" s="40"/>
      <c r="E18" s="40"/>
      <c r="F18" s="40"/>
      <c r="G18" s="40"/>
      <c r="H18" s="40"/>
      <c r="I18" s="41" t="s">
        <v>126</v>
      </c>
    </row>
    <row r="19" spans="1:9" x14ac:dyDescent="0.2">
      <c r="A19" s="53"/>
      <c r="B19" s="17" t="s">
        <v>118</v>
      </c>
      <c r="C19" s="17" t="s">
        <v>114</v>
      </c>
      <c r="D19" s="17" t="s">
        <v>115</v>
      </c>
      <c r="E19" s="17" t="s">
        <v>125</v>
      </c>
      <c r="F19" s="17" t="s">
        <v>116</v>
      </c>
      <c r="G19" s="17" t="s">
        <v>117</v>
      </c>
      <c r="H19" s="17" t="s">
        <v>101</v>
      </c>
      <c r="I19" s="43" t="s">
        <v>124</v>
      </c>
    </row>
    <row r="20" spans="1:9" x14ac:dyDescent="0.2">
      <c r="A20" s="44">
        <v>2022</v>
      </c>
      <c r="B20" s="45">
        <f>167609+165471</f>
        <v>333080</v>
      </c>
      <c r="C20" s="17"/>
      <c r="D20" s="17"/>
      <c r="E20" s="17"/>
      <c r="F20" s="17"/>
      <c r="G20" s="17"/>
      <c r="H20" s="17"/>
      <c r="I20" s="43"/>
    </row>
    <row r="21" spans="1:9" x14ac:dyDescent="0.2">
      <c r="A21" s="44">
        <v>2023</v>
      </c>
      <c r="B21" s="45">
        <f>95833+115975</f>
        <v>211808</v>
      </c>
      <c r="C21" s="54">
        <f>(B21/B20)-1</f>
        <v>-0.36409271045994951</v>
      </c>
      <c r="D21" s="60">
        <f>B21/B20</f>
        <v>0.63590728954005049</v>
      </c>
      <c r="E21" s="60">
        <v>0.2</v>
      </c>
      <c r="F21" s="17"/>
      <c r="G21" s="17"/>
      <c r="H21" s="17"/>
      <c r="I21" s="43"/>
    </row>
    <row r="22" spans="1:9" x14ac:dyDescent="0.2">
      <c r="A22" s="44" t="s">
        <v>139</v>
      </c>
      <c r="B22" s="45">
        <f>66986+59157</f>
        <v>126143</v>
      </c>
      <c r="C22" s="54">
        <f>(B22/B21)-1</f>
        <v>-0.40444647983079018</v>
      </c>
      <c r="D22" s="60">
        <f>B22/B21</f>
        <v>0.59555352016920982</v>
      </c>
      <c r="E22" s="60">
        <v>0.4</v>
      </c>
      <c r="F22" s="17">
        <f>D21*D22</f>
        <v>0.37871682478683799</v>
      </c>
      <c r="G22" s="17">
        <f>F22^(1/2)</f>
        <v>0.61539972764605444</v>
      </c>
      <c r="H22" s="54" cm="1">
        <f t="array" ref="H22">PRODUCT(1+C21:C22)^(1/2)-1</f>
        <v>-0.38460027235394556</v>
      </c>
      <c r="I22" s="43"/>
    </row>
    <row r="23" spans="1:9" x14ac:dyDescent="0.2">
      <c r="A23" s="44">
        <v>2024</v>
      </c>
      <c r="B23" s="45">
        <f>141342+121897</f>
        <v>263239</v>
      </c>
      <c r="C23" s="54"/>
      <c r="D23" s="60"/>
      <c r="E23" s="60"/>
      <c r="F23" s="17"/>
      <c r="G23" s="17"/>
      <c r="H23" s="54"/>
      <c r="I23" s="43"/>
    </row>
    <row r="24" spans="1:9" x14ac:dyDescent="0.2">
      <c r="A24" s="44" t="s">
        <v>140</v>
      </c>
      <c r="B24" s="45">
        <f>95396+77920</f>
        <v>173316</v>
      </c>
      <c r="C24" s="17"/>
      <c r="D24" s="17"/>
      <c r="E24" s="17"/>
      <c r="F24" s="17"/>
      <c r="G24" s="17"/>
      <c r="H24" s="17"/>
      <c r="I24" s="43"/>
    </row>
    <row r="25" spans="1:9" x14ac:dyDescent="0.2">
      <c r="A25" s="44"/>
      <c r="B25" s="17"/>
      <c r="C25" s="17"/>
      <c r="D25" s="17"/>
      <c r="E25" s="17"/>
      <c r="F25" s="17"/>
      <c r="G25" s="17"/>
      <c r="H25" s="17"/>
      <c r="I25" s="43"/>
    </row>
    <row r="26" spans="1:9" x14ac:dyDescent="0.2">
      <c r="A26" s="61" t="s">
        <v>164</v>
      </c>
      <c r="B26" s="48">
        <f>B24*2</f>
        <v>346632</v>
      </c>
      <c r="C26" s="57">
        <f>(B26/B22)-1</f>
        <v>1.7479289377928224</v>
      </c>
      <c r="D26" s="62">
        <f>B26/B22</f>
        <v>2.7479289377928224</v>
      </c>
      <c r="E26" s="62">
        <v>0.4</v>
      </c>
      <c r="F26" s="2">
        <f>D21*D22*D26</f>
        <v>1.0406869220607662</v>
      </c>
      <c r="G26" s="2">
        <f>F26^(1/3)</f>
        <v>1.0133824193245891</v>
      </c>
      <c r="H26" s="57" cm="1">
        <f t="array" ref="H26">PRODUCT(1+C21:C26)^(1/3)-1</f>
        <v>1.3382419324589057E-2</v>
      </c>
      <c r="I26" s="49">
        <f>((D21)^E21 * (D22)^E22 * (D26)^E26) - 1</f>
        <v>0.11237002672829677</v>
      </c>
    </row>
    <row r="28" spans="1:9" x14ac:dyDescent="0.2">
      <c r="A28" s="39" t="s">
        <v>165</v>
      </c>
      <c r="B28" s="40"/>
      <c r="C28" s="40"/>
      <c r="D28" s="51" t="s">
        <v>126</v>
      </c>
      <c r="E28" s="52"/>
    </row>
    <row r="29" spans="1:9" x14ac:dyDescent="0.2">
      <c r="A29" s="42"/>
      <c r="B29" s="17" t="s">
        <v>166</v>
      </c>
      <c r="C29" s="17" t="s">
        <v>167</v>
      </c>
      <c r="D29" s="17" t="s">
        <v>168</v>
      </c>
      <c r="E29" s="69" t="s">
        <v>169</v>
      </c>
    </row>
    <row r="30" spans="1:9" x14ac:dyDescent="0.2">
      <c r="A30" s="44">
        <v>2022</v>
      </c>
      <c r="B30" s="45">
        <v>286953</v>
      </c>
      <c r="C30" s="45">
        <v>735885</v>
      </c>
      <c r="D30" s="54">
        <f>B30/C30</f>
        <v>0.38994272202857783</v>
      </c>
      <c r="E30" s="43"/>
    </row>
    <row r="31" spans="1:9" x14ac:dyDescent="0.2">
      <c r="A31" s="44">
        <v>2023</v>
      </c>
      <c r="B31" s="45">
        <v>719806</v>
      </c>
      <c r="C31" s="45">
        <v>1430606</v>
      </c>
      <c r="D31" s="54">
        <f t="shared" ref="D31:D35" si="1">B31/C31</f>
        <v>0.50314761716363554</v>
      </c>
      <c r="E31" s="43"/>
    </row>
    <row r="32" spans="1:9" x14ac:dyDescent="0.2">
      <c r="A32" s="44">
        <v>2024</v>
      </c>
      <c r="B32" s="45">
        <v>1010811</v>
      </c>
      <c r="C32" s="45">
        <v>1661084</v>
      </c>
      <c r="D32" s="54">
        <f t="shared" si="1"/>
        <v>0.60852491505546979</v>
      </c>
      <c r="E32" s="46">
        <f>AVERAGE(D30:D32)</f>
        <v>0.50053841808256105</v>
      </c>
    </row>
    <row r="33" spans="1:9" x14ac:dyDescent="0.2">
      <c r="A33" s="44" t="s">
        <v>140</v>
      </c>
      <c r="B33" s="45">
        <v>753784</v>
      </c>
      <c r="C33" s="45">
        <v>1192185</v>
      </c>
      <c r="D33" s="54">
        <f t="shared" si="1"/>
        <v>0.63227099820917054</v>
      </c>
      <c r="E33" s="43"/>
    </row>
    <row r="34" spans="1:9" x14ac:dyDescent="0.2">
      <c r="A34" s="44"/>
      <c r="B34" s="45"/>
      <c r="C34" s="45"/>
      <c r="D34" s="54"/>
      <c r="E34" s="43"/>
    </row>
    <row r="35" spans="1:9" x14ac:dyDescent="0.2">
      <c r="A35" s="47" t="s">
        <v>164</v>
      </c>
      <c r="B35" s="48">
        <f>B33*2</f>
        <v>1507568</v>
      </c>
      <c r="C35" s="48">
        <f>C33*2</f>
        <v>2384370</v>
      </c>
      <c r="D35" s="57">
        <f t="shared" si="1"/>
        <v>0.63227099820917054</v>
      </c>
      <c r="E35" s="68"/>
    </row>
    <row r="36" spans="1:9" x14ac:dyDescent="0.2">
      <c r="A36" s="22"/>
    </row>
    <row r="37" spans="1:9" x14ac:dyDescent="0.2">
      <c r="A37" s="50" t="s">
        <v>129</v>
      </c>
      <c r="B37" s="40"/>
      <c r="C37" s="40"/>
      <c r="D37" s="40"/>
      <c r="E37" s="40"/>
      <c r="F37" s="40"/>
      <c r="G37" s="40"/>
      <c r="H37" s="51" t="s">
        <v>126</v>
      </c>
      <c r="I37" s="52"/>
    </row>
    <row r="38" spans="1:9" x14ac:dyDescent="0.2">
      <c r="A38" s="53"/>
      <c r="B38" s="17" t="s">
        <v>135</v>
      </c>
      <c r="C38" s="17" t="s">
        <v>134</v>
      </c>
      <c r="D38" s="17" t="s">
        <v>132</v>
      </c>
      <c r="E38" s="17" t="s">
        <v>131</v>
      </c>
      <c r="F38" s="17" t="s">
        <v>133</v>
      </c>
      <c r="G38" s="17" t="s">
        <v>125</v>
      </c>
      <c r="H38" s="17" t="s">
        <v>137</v>
      </c>
      <c r="I38" s="43" t="s">
        <v>138</v>
      </c>
    </row>
    <row r="39" spans="1:9" x14ac:dyDescent="0.2">
      <c r="A39" s="53" t="s">
        <v>130</v>
      </c>
      <c r="B39" s="45">
        <f>41174+40817</f>
        <v>81991</v>
      </c>
      <c r="C39" s="45">
        <v>23804</v>
      </c>
      <c r="D39" s="45">
        <f>C39*4</f>
        <v>95216</v>
      </c>
      <c r="E39" s="45">
        <f>B39*4</f>
        <v>327964</v>
      </c>
      <c r="F39" s="54">
        <f>(D39/1000)/E39</f>
        <v>2.9032454781622371E-4</v>
      </c>
      <c r="G39" s="55">
        <v>0.6</v>
      </c>
      <c r="H39" s="17"/>
      <c r="I39" s="43"/>
    </row>
    <row r="40" spans="1:9" x14ac:dyDescent="0.2">
      <c r="A40" s="53" t="s">
        <v>141</v>
      </c>
      <c r="B40" s="45">
        <f>95396+77920</f>
        <v>173316</v>
      </c>
      <c r="C40" s="45">
        <f>44466</f>
        <v>44466</v>
      </c>
      <c r="D40" s="45">
        <f>C40*2</f>
        <v>88932</v>
      </c>
      <c r="E40" s="45">
        <f>B40*2</f>
        <v>346632</v>
      </c>
      <c r="F40" s="54">
        <f>(D40/1000)/E40</f>
        <v>2.5656027141175659E-4</v>
      </c>
      <c r="G40" s="55"/>
      <c r="H40" s="17"/>
      <c r="I40" s="43"/>
    </row>
    <row r="41" spans="1:9" x14ac:dyDescent="0.2">
      <c r="A41" s="53" t="s">
        <v>136</v>
      </c>
      <c r="B41" s="45">
        <f>34837+35015</f>
        <v>69852</v>
      </c>
      <c r="C41" s="45">
        <f>6767</f>
        <v>6767</v>
      </c>
      <c r="D41" s="45">
        <f>C41*4</f>
        <v>27068</v>
      </c>
      <c r="E41" s="45">
        <f>B41*4</f>
        <v>279408</v>
      </c>
      <c r="F41" s="54">
        <f>(D41/1000)/E41</f>
        <v>9.6876252648456747E-5</v>
      </c>
      <c r="G41" s="55">
        <v>0.4</v>
      </c>
      <c r="H41" s="78">
        <f>(F41)^G41*(F39)^G39</f>
        <v>1.8716178885329359E-4</v>
      </c>
      <c r="I41" s="46">
        <f>(F39*G39) + (F41*G41)</f>
        <v>2.1294522974911692E-4</v>
      </c>
    </row>
    <row r="42" spans="1:9" x14ac:dyDescent="0.2">
      <c r="A42" s="44">
        <v>2024</v>
      </c>
      <c r="B42" s="45">
        <f>B23</f>
        <v>263239</v>
      </c>
      <c r="C42" s="45">
        <f>15169</f>
        <v>15169</v>
      </c>
      <c r="D42" s="45"/>
      <c r="E42" s="45"/>
      <c r="F42" s="54">
        <f>(C42/1000)/B42</f>
        <v>5.7624440147546525E-5</v>
      </c>
      <c r="G42" s="55"/>
      <c r="H42" s="78"/>
      <c r="I42" s="46"/>
    </row>
    <row r="43" spans="1:9" x14ac:dyDescent="0.2">
      <c r="A43" s="44">
        <v>2023</v>
      </c>
      <c r="B43" s="45">
        <f>B21</f>
        <v>211808</v>
      </c>
      <c r="C43" s="45">
        <f>19860</f>
        <v>19860</v>
      </c>
      <c r="D43" s="45"/>
      <c r="E43" s="45"/>
      <c r="F43" s="54">
        <f t="shared" ref="F43:F44" si="2">(C43/1000)/B43</f>
        <v>9.3764163770962373E-5</v>
      </c>
      <c r="G43" s="55"/>
      <c r="H43" s="78"/>
      <c r="I43" s="46"/>
    </row>
    <row r="44" spans="1:9" x14ac:dyDescent="0.2">
      <c r="A44" s="47">
        <v>2022</v>
      </c>
      <c r="B44" s="48">
        <f>B20</f>
        <v>333080</v>
      </c>
      <c r="C44" s="48">
        <f>36167</f>
        <v>36167</v>
      </c>
      <c r="D44" s="48"/>
      <c r="E44" s="48"/>
      <c r="F44" s="57">
        <f t="shared" si="2"/>
        <v>1.0858352347784317E-4</v>
      </c>
      <c r="G44" s="58"/>
      <c r="H44" s="59"/>
      <c r="I44" s="49"/>
    </row>
    <row r="47" spans="1:9" x14ac:dyDescent="0.2">
      <c r="A47" s="50" t="s">
        <v>142</v>
      </c>
      <c r="B47" s="40"/>
      <c r="C47" s="40"/>
      <c r="D47" s="41" t="s">
        <v>126</v>
      </c>
    </row>
    <row r="48" spans="1:9" x14ac:dyDescent="0.2">
      <c r="A48" s="53"/>
      <c r="B48" s="17" t="s">
        <v>155</v>
      </c>
      <c r="C48" s="17" t="s">
        <v>143</v>
      </c>
      <c r="D48" s="43" t="s">
        <v>144</v>
      </c>
    </row>
    <row r="49" spans="1:4" x14ac:dyDescent="0.2">
      <c r="A49" s="44">
        <v>2022</v>
      </c>
      <c r="B49" s="45">
        <v>309354</v>
      </c>
      <c r="C49" s="45">
        <v>772052</v>
      </c>
      <c r="D49" s="46">
        <f>B49/C49</f>
        <v>0.40069062705620867</v>
      </c>
    </row>
    <row r="50" spans="1:4" x14ac:dyDescent="0.2">
      <c r="A50" s="44">
        <v>2023</v>
      </c>
      <c r="B50" s="45">
        <v>727724</v>
      </c>
      <c r="C50" s="45">
        <v>1450466</v>
      </c>
      <c r="D50" s="46">
        <f>B50/C50</f>
        <v>0.50171737910437064</v>
      </c>
    </row>
    <row r="51" spans="1:4" x14ac:dyDescent="0.2">
      <c r="A51" s="44">
        <v>2024</v>
      </c>
      <c r="B51" s="45">
        <v>1017364</v>
      </c>
      <c r="C51" s="45">
        <v>1676253</v>
      </c>
      <c r="D51" s="46">
        <f t="shared" ref="D51:D52" si="3">B51/C51</f>
        <v>0.60692747455187257</v>
      </c>
    </row>
    <row r="52" spans="1:4" x14ac:dyDescent="0.2">
      <c r="A52" s="44" t="s">
        <v>141</v>
      </c>
      <c r="B52" s="45">
        <v>754589</v>
      </c>
      <c r="C52" s="45">
        <v>1236651</v>
      </c>
      <c r="D52" s="46">
        <f t="shared" si="3"/>
        <v>0.61018751450490072</v>
      </c>
    </row>
    <row r="53" spans="1:4" x14ac:dyDescent="0.2">
      <c r="A53" s="53"/>
      <c r="B53" s="17"/>
      <c r="C53" s="17"/>
      <c r="D53" s="46"/>
    </row>
    <row r="54" spans="1:4" x14ac:dyDescent="0.2">
      <c r="A54" s="47" t="s">
        <v>164</v>
      </c>
      <c r="B54" s="48">
        <f>B52*2</f>
        <v>1509178</v>
      </c>
      <c r="C54" s="48">
        <f>C52*2</f>
        <v>2473302</v>
      </c>
      <c r="D54" s="49">
        <f>B54/C54</f>
        <v>0.61018751450490072</v>
      </c>
    </row>
    <row r="56" spans="1:4" x14ac:dyDescent="0.2">
      <c r="A56" s="50" t="s">
        <v>145</v>
      </c>
      <c r="B56" s="40"/>
      <c r="C56" s="40"/>
      <c r="D56" s="41" t="s">
        <v>126</v>
      </c>
    </row>
    <row r="57" spans="1:4" x14ac:dyDescent="0.2">
      <c r="A57" s="53"/>
      <c r="B57" s="17" t="s">
        <v>146</v>
      </c>
      <c r="C57" s="17" t="s">
        <v>143</v>
      </c>
      <c r="D57" s="43" t="s">
        <v>147</v>
      </c>
    </row>
    <row r="58" spans="1:4" x14ac:dyDescent="0.2">
      <c r="A58" s="44">
        <v>2022</v>
      </c>
      <c r="B58" s="45">
        <v>78839</v>
      </c>
      <c r="C58" s="45">
        <f>C49</f>
        <v>772052</v>
      </c>
      <c r="D58" s="46">
        <f>B58/C58</f>
        <v>0.10211617870298892</v>
      </c>
    </row>
    <row r="59" spans="1:4" x14ac:dyDescent="0.2">
      <c r="A59" s="44">
        <v>2023</v>
      </c>
      <c r="B59" s="45">
        <v>36544</v>
      </c>
      <c r="C59" s="45">
        <f>C50</f>
        <v>1450466</v>
      </c>
      <c r="D59" s="46">
        <f t="shared" ref="D59:D63" si="4">B59/C59</f>
        <v>2.5194661577727435E-2</v>
      </c>
    </row>
    <row r="60" spans="1:4" x14ac:dyDescent="0.2">
      <c r="A60" s="44">
        <v>2024</v>
      </c>
      <c r="B60" s="45">
        <v>17326</v>
      </c>
      <c r="C60" s="45">
        <f t="shared" ref="C60:C63" si="5">C51</f>
        <v>1676253</v>
      </c>
      <c r="D60" s="46">
        <f t="shared" si="4"/>
        <v>1.0336148540822895E-2</v>
      </c>
    </row>
    <row r="61" spans="1:4" x14ac:dyDescent="0.2">
      <c r="A61" s="44" t="s">
        <v>141</v>
      </c>
      <c r="B61" s="45">
        <v>11770</v>
      </c>
      <c r="C61" s="45">
        <f t="shared" si="5"/>
        <v>1236651</v>
      </c>
      <c r="D61" s="46">
        <f t="shared" si="4"/>
        <v>9.5176407895194368E-3</v>
      </c>
    </row>
    <row r="62" spans="1:4" x14ac:dyDescent="0.2">
      <c r="A62" s="44"/>
      <c r="B62" s="17"/>
      <c r="C62" s="45"/>
      <c r="D62" s="46"/>
    </row>
    <row r="63" spans="1:4" x14ac:dyDescent="0.2">
      <c r="A63" s="47" t="s">
        <v>164</v>
      </c>
      <c r="B63" s="48">
        <f>B61*2</f>
        <v>23540</v>
      </c>
      <c r="C63" s="48">
        <f t="shared" si="5"/>
        <v>2473302</v>
      </c>
      <c r="D63" s="49">
        <f t="shared" si="4"/>
        <v>9.5176407895194368E-3</v>
      </c>
    </row>
    <row r="65" spans="1:4" x14ac:dyDescent="0.2">
      <c r="A65" s="33" t="s">
        <v>149</v>
      </c>
      <c r="D65" s="33" t="s">
        <v>126</v>
      </c>
    </row>
    <row r="66" spans="1:4" x14ac:dyDescent="0.2">
      <c r="B66" t="s">
        <v>150</v>
      </c>
      <c r="C66" t="s">
        <v>143</v>
      </c>
      <c r="D66" t="s">
        <v>151</v>
      </c>
    </row>
    <row r="67" spans="1:4" x14ac:dyDescent="0.2">
      <c r="A67" s="22">
        <v>2022</v>
      </c>
      <c r="B67" s="36">
        <v>11835</v>
      </c>
      <c r="C67" s="36">
        <f>C58</f>
        <v>772052</v>
      </c>
      <c r="D67" s="32">
        <f>B67/C67</f>
        <v>1.5329278338764747E-2</v>
      </c>
    </row>
    <row r="68" spans="1:4" x14ac:dyDescent="0.2">
      <c r="A68" s="22">
        <v>2023</v>
      </c>
      <c r="B68" s="36">
        <v>20722</v>
      </c>
      <c r="C68" s="36">
        <f t="shared" ref="C68:C72" si="6">C59</f>
        <v>1450466</v>
      </c>
      <c r="D68" s="32">
        <f t="shared" ref="D68:D72" si="7">B68/C68</f>
        <v>1.4286443115522874E-2</v>
      </c>
    </row>
    <row r="69" spans="1:4" x14ac:dyDescent="0.2">
      <c r="A69" s="22">
        <v>2024</v>
      </c>
      <c r="B69" s="36">
        <v>27109</v>
      </c>
      <c r="C69" s="36">
        <f t="shared" si="6"/>
        <v>1676253</v>
      </c>
      <c r="D69" s="32">
        <f t="shared" si="7"/>
        <v>1.6172379706404703E-2</v>
      </c>
    </row>
    <row r="70" spans="1:4" x14ac:dyDescent="0.2">
      <c r="A70" s="22" t="s">
        <v>141</v>
      </c>
      <c r="B70" s="36">
        <v>16432</v>
      </c>
      <c r="C70" s="36">
        <f t="shared" si="6"/>
        <v>1236651</v>
      </c>
      <c r="D70" s="32">
        <f t="shared" si="7"/>
        <v>1.3287499868596718E-2</v>
      </c>
    </row>
    <row r="71" spans="1:4" x14ac:dyDescent="0.2">
      <c r="A71" s="22"/>
      <c r="B71" s="36"/>
      <c r="C71" s="36"/>
      <c r="D71" s="32"/>
    </row>
    <row r="72" spans="1:4" x14ac:dyDescent="0.2">
      <c r="A72" s="38" t="s">
        <v>164</v>
      </c>
      <c r="B72" s="36">
        <f>B70*2</f>
        <v>32864</v>
      </c>
      <c r="C72" s="36">
        <f t="shared" si="6"/>
        <v>2473302</v>
      </c>
      <c r="D72" s="32">
        <f t="shared" si="7"/>
        <v>1.3287499868596718E-2</v>
      </c>
    </row>
    <row r="74" spans="1:4" x14ac:dyDescent="0.2">
      <c r="A74" s="50" t="s">
        <v>152</v>
      </c>
      <c r="B74" s="40"/>
      <c r="C74" s="40"/>
      <c r="D74" s="41" t="s">
        <v>126</v>
      </c>
    </row>
    <row r="75" spans="1:4" x14ac:dyDescent="0.2">
      <c r="A75" s="53"/>
      <c r="B75" s="17" t="s">
        <v>153</v>
      </c>
      <c r="C75" s="17" t="s">
        <v>143</v>
      </c>
      <c r="D75" s="43" t="s">
        <v>154</v>
      </c>
    </row>
    <row r="76" spans="1:4" x14ac:dyDescent="0.2">
      <c r="A76" s="44">
        <v>2022</v>
      </c>
      <c r="B76" s="45">
        <v>82272</v>
      </c>
      <c r="C76" s="45">
        <f>C67</f>
        <v>772052</v>
      </c>
      <c r="D76" s="46">
        <f>B76/C76</f>
        <v>0.10656277038334205</v>
      </c>
    </row>
    <row r="77" spans="1:4" x14ac:dyDescent="0.2">
      <c r="A77" s="44">
        <v>2023</v>
      </c>
      <c r="B77" s="45">
        <v>100128</v>
      </c>
      <c r="C77" s="45">
        <f t="shared" ref="C77:C81" si="8">C68</f>
        <v>1450466</v>
      </c>
      <c r="D77" s="46">
        <f t="shared" ref="D77:D81" si="9">B77/C77</f>
        <v>6.9031607772950213E-2</v>
      </c>
    </row>
    <row r="78" spans="1:4" x14ac:dyDescent="0.2">
      <c r="A78" s="44">
        <v>2024</v>
      </c>
      <c r="B78" s="45">
        <v>137283</v>
      </c>
      <c r="C78" s="45">
        <f t="shared" si="8"/>
        <v>1676253</v>
      </c>
      <c r="D78" s="46">
        <f t="shared" si="9"/>
        <v>8.1898734856850369E-2</v>
      </c>
    </row>
    <row r="79" spans="1:4" x14ac:dyDescent="0.2">
      <c r="A79" s="44" t="s">
        <v>141</v>
      </c>
      <c r="B79" s="45">
        <v>73824</v>
      </c>
      <c r="C79" s="45">
        <f t="shared" si="8"/>
        <v>1236651</v>
      </c>
      <c r="D79" s="46">
        <f t="shared" si="9"/>
        <v>5.9696713138953514E-2</v>
      </c>
    </row>
    <row r="80" spans="1:4" x14ac:dyDescent="0.2">
      <c r="A80" s="44"/>
      <c r="B80" s="45"/>
      <c r="C80" s="45"/>
      <c r="D80" s="46"/>
    </row>
    <row r="81" spans="1:8" x14ac:dyDescent="0.2">
      <c r="A81" s="61" t="s">
        <v>164</v>
      </c>
      <c r="B81" s="48">
        <f>B79*2</f>
        <v>147648</v>
      </c>
      <c r="C81" s="48">
        <f t="shared" si="8"/>
        <v>2473302</v>
      </c>
      <c r="D81" s="49">
        <f t="shared" si="9"/>
        <v>5.9696713138953514E-2</v>
      </c>
    </row>
    <row r="83" spans="1:8" x14ac:dyDescent="0.2">
      <c r="A83" s="50" t="s">
        <v>156</v>
      </c>
      <c r="B83" s="40"/>
      <c r="C83" s="40"/>
      <c r="D83" s="40"/>
      <c r="E83" s="40"/>
      <c r="F83" s="40"/>
      <c r="G83" s="40"/>
      <c r="H83" s="52"/>
    </row>
    <row r="84" spans="1:8" x14ac:dyDescent="0.2">
      <c r="A84" s="53"/>
      <c r="B84" s="17" t="s">
        <v>158</v>
      </c>
      <c r="C84" s="17" t="s">
        <v>143</v>
      </c>
      <c r="D84" s="17" t="s">
        <v>157</v>
      </c>
      <c r="E84" s="17" t="s">
        <v>159</v>
      </c>
      <c r="F84" s="17" t="s">
        <v>160</v>
      </c>
      <c r="G84" s="17" t="s">
        <v>161</v>
      </c>
      <c r="H84" s="43" t="s">
        <v>163</v>
      </c>
    </row>
    <row r="85" spans="1:8" x14ac:dyDescent="0.2">
      <c r="A85" s="44">
        <v>2022</v>
      </c>
      <c r="B85" s="45">
        <v>212961</v>
      </c>
      <c r="C85" s="45">
        <f>C76</f>
        <v>772052</v>
      </c>
      <c r="D85" s="54">
        <f>B85/C85</f>
        <v>0.27583763787931381</v>
      </c>
      <c r="E85" s="17"/>
      <c r="F85" s="17"/>
      <c r="G85" s="17"/>
      <c r="H85" s="43"/>
    </row>
    <row r="86" spans="1:8" x14ac:dyDescent="0.2">
      <c r="A86" s="44">
        <v>2023</v>
      </c>
      <c r="B86" s="45">
        <v>296055</v>
      </c>
      <c r="C86" s="45">
        <f t="shared" ref="C86:C88" si="10">C77</f>
        <v>1450466</v>
      </c>
      <c r="D86" s="54">
        <f t="shared" ref="D86:D88" si="11">B86/C86</f>
        <v>0.2041102652526843</v>
      </c>
      <c r="E86" s="17"/>
      <c r="F86" s="17"/>
      <c r="G86" s="17"/>
      <c r="H86" s="43"/>
    </row>
    <row r="87" spans="1:8" x14ac:dyDescent="0.2">
      <c r="A87" s="44">
        <v>2024</v>
      </c>
      <c r="B87" s="45">
        <v>263410</v>
      </c>
      <c r="C87" s="45">
        <f t="shared" si="10"/>
        <v>1676253</v>
      </c>
      <c r="D87" s="54">
        <f t="shared" si="11"/>
        <v>0.15714214978287883</v>
      </c>
      <c r="E87" s="17"/>
      <c r="F87" s="17"/>
      <c r="G87" s="17"/>
      <c r="H87" s="43"/>
    </row>
    <row r="88" spans="1:8" x14ac:dyDescent="0.2">
      <c r="A88" s="44" t="s">
        <v>141</v>
      </c>
      <c r="B88" s="45">
        <v>579012</v>
      </c>
      <c r="C88" s="45">
        <f t="shared" si="10"/>
        <v>1236651</v>
      </c>
      <c r="D88" s="54">
        <f t="shared" si="11"/>
        <v>0.46820970508251719</v>
      </c>
      <c r="E88" s="17"/>
      <c r="F88" s="17"/>
      <c r="G88" s="17"/>
      <c r="H88" s="43"/>
    </row>
    <row r="89" spans="1:8" ht="32" x14ac:dyDescent="0.2">
      <c r="A89" s="67" t="s">
        <v>162</v>
      </c>
      <c r="B89" s="45">
        <f>B88-423800</f>
        <v>155212</v>
      </c>
      <c r="C89" s="45"/>
      <c r="D89" s="54">
        <f>B89/C88</f>
        <v>0.12550994581332972</v>
      </c>
      <c r="E89" s="54">
        <f>SUM(D85:D88)/4</f>
        <v>0.2763249394993485</v>
      </c>
      <c r="F89" s="54">
        <f>(D85*0.1)+(D86*0.2)+(D87*0.3)+(D88*0.4)</f>
        <v>0.30283234380633878</v>
      </c>
      <c r="G89" s="54">
        <f>SUM(D85:D87)/3</f>
        <v>0.21236335097162562</v>
      </c>
      <c r="H89" s="46">
        <f>AVERAGE(D85,D86,D87,D89)</f>
        <v>0.19064999968205165</v>
      </c>
    </row>
    <row r="90" spans="1:8" x14ac:dyDescent="0.2">
      <c r="A90" s="44"/>
      <c r="B90" s="17"/>
      <c r="C90" s="45"/>
      <c r="D90" s="54"/>
      <c r="E90" s="54"/>
      <c r="F90" s="54"/>
      <c r="G90" s="54"/>
      <c r="H90" s="43"/>
    </row>
    <row r="91" spans="1:8" x14ac:dyDescent="0.2">
      <c r="A91" s="53"/>
      <c r="B91" s="45"/>
      <c r="C91" s="17"/>
      <c r="D91" s="17" t="s">
        <v>148</v>
      </c>
      <c r="E91" s="17"/>
      <c r="F91" s="17"/>
      <c r="G91" s="17"/>
      <c r="H91" s="43"/>
    </row>
    <row r="92" spans="1:8" x14ac:dyDescent="0.2">
      <c r="A92" s="61" t="s">
        <v>164</v>
      </c>
      <c r="B92" s="48">
        <f>B89*2</f>
        <v>310424</v>
      </c>
      <c r="C92" s="48">
        <f>C81</f>
        <v>2473302</v>
      </c>
      <c r="D92" s="57">
        <f>B92/C92</f>
        <v>0.12550994581332972</v>
      </c>
      <c r="E92" s="2"/>
      <c r="F92" s="2"/>
      <c r="G92" s="2"/>
      <c r="H92" s="68"/>
    </row>
    <row r="95" spans="1:8" x14ac:dyDescent="0.2">
      <c r="A95" s="50" t="s">
        <v>230</v>
      </c>
      <c r="B95" s="40"/>
      <c r="C95" s="40"/>
      <c r="D95" s="40"/>
      <c r="E95" s="52"/>
    </row>
    <row r="96" spans="1:8" x14ac:dyDescent="0.2">
      <c r="A96" s="79"/>
      <c r="B96" s="17" t="s">
        <v>231</v>
      </c>
      <c r="C96" s="17" t="s">
        <v>232</v>
      </c>
      <c r="D96" s="17" t="s">
        <v>230</v>
      </c>
      <c r="E96" s="43" t="s">
        <v>233</v>
      </c>
    </row>
    <row r="97" spans="1:5" x14ac:dyDescent="0.2">
      <c r="A97" s="44">
        <v>2022</v>
      </c>
      <c r="B97" s="45">
        <f>-758509/1000</f>
        <v>-758.50900000000001</v>
      </c>
      <c r="C97" s="45">
        <f>3263/1000</f>
        <v>3.2629999999999999</v>
      </c>
      <c r="D97" s="63">
        <f>C97/B97</f>
        <v>-4.3018606239345874E-3</v>
      </c>
      <c r="E97" s="43"/>
    </row>
    <row r="98" spans="1:5" x14ac:dyDescent="0.2">
      <c r="A98" s="44">
        <v>2023</v>
      </c>
      <c r="B98" s="45">
        <f>318949/1000</f>
        <v>318.94900000000001</v>
      </c>
      <c r="C98" s="45">
        <f>47400/1000</f>
        <v>47.4</v>
      </c>
      <c r="D98" s="63">
        <f t="shared" ref="D98:D100" si="12">C98/B98</f>
        <v>0.14861310115410301</v>
      </c>
      <c r="E98" s="43"/>
    </row>
    <row r="99" spans="1:5" x14ac:dyDescent="0.2">
      <c r="A99" s="44">
        <v>2024</v>
      </c>
      <c r="B99" s="45">
        <f>221574/1000</f>
        <v>221.57400000000001</v>
      </c>
      <c r="C99" s="45">
        <f>64583/1000</f>
        <v>64.582999999999998</v>
      </c>
      <c r="D99" s="63">
        <f t="shared" si="12"/>
        <v>0.29147372886710532</v>
      </c>
      <c r="E99" s="64">
        <f>(D98+D99)/2</f>
        <v>0.22004341501060415</v>
      </c>
    </row>
    <row r="100" spans="1:5" x14ac:dyDescent="0.2">
      <c r="A100" s="44" t="s">
        <v>141</v>
      </c>
      <c r="B100" s="45">
        <f>-396166/1000</f>
        <v>-396.166</v>
      </c>
      <c r="C100" s="45">
        <f>21143/1000</f>
        <v>21.143000000000001</v>
      </c>
      <c r="D100" s="63">
        <f t="shared" si="12"/>
        <v>-5.3369042270159484E-2</v>
      </c>
      <c r="E100" s="43"/>
    </row>
    <row r="101" spans="1:5" x14ac:dyDescent="0.2">
      <c r="A101" s="53"/>
      <c r="B101" s="17"/>
      <c r="C101" s="17"/>
      <c r="D101" s="17"/>
      <c r="E101" s="43"/>
    </row>
    <row r="102" spans="1:5" x14ac:dyDescent="0.2">
      <c r="A102" s="56" t="s">
        <v>164</v>
      </c>
      <c r="B102" s="80">
        <f>B100*2</f>
        <v>-792.33199999999999</v>
      </c>
      <c r="C102" s="80">
        <f>C100*2</f>
        <v>42.286000000000001</v>
      </c>
      <c r="D102" s="65">
        <f>C102/B102</f>
        <v>-5.3369042270159484E-2</v>
      </c>
      <c r="E102" s="68"/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405C6-B4C1-D748-8E33-61D851AB4F8C}">
  <dimension ref="A1:B3"/>
  <sheetViews>
    <sheetView workbookViewId="0">
      <selection activeCell="D11" sqref="D11"/>
    </sheetView>
  </sheetViews>
  <sheetFormatPr baseColWidth="10" defaultRowHeight="15" x14ac:dyDescent="0.2"/>
  <sheetData>
    <row r="1" spans="1:2" x14ac:dyDescent="0.2">
      <c r="A1" t="s">
        <v>122</v>
      </c>
      <c r="B1" s="37" t="s">
        <v>119</v>
      </c>
    </row>
    <row r="2" spans="1:2" x14ac:dyDescent="0.2">
      <c r="A2" t="s">
        <v>123</v>
      </c>
      <c r="B2" s="37" t="s">
        <v>120</v>
      </c>
    </row>
    <row r="3" spans="1:2" x14ac:dyDescent="0.2">
      <c r="A3" t="s">
        <v>123</v>
      </c>
      <c r="B3" s="37" t="s">
        <v>121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Circle Transparency Inputs</vt:lpstr>
      <vt:lpstr>Data</vt:lpstr>
      <vt:lpstr>Dashboard</vt:lpstr>
      <vt:lpstr>Calculations</vt:lpstr>
      <vt:lpstr>Metrics</vt:lpstr>
      <vt:lpstr>Citations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Brando Pakel</cp:lastModifiedBy>
  <dcterms:created xsi:type="dcterms:W3CDTF">2025-08-11T04:10:02Z</dcterms:created>
  <dcterms:modified xsi:type="dcterms:W3CDTF">2025-08-20T04:05:08Z</dcterms:modified>
</cp:coreProperties>
</file>